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BF82652C-B885-4171-BF56-BC2D402E1B98}" xr6:coauthVersionLast="47" xr6:coauthVersionMax="47" xr10:uidLastSave="{00000000-0000-0000-0000-000000000000}"/>
  <bookViews>
    <workbookView xWindow="30375" yWindow="570" windowWidth="24585" windowHeight="14340" tabRatio="721" xr2:uid="{00000000-000D-0000-FFFF-FFFF00000000}"/>
  </bookViews>
  <sheets>
    <sheet name="닥터아제라 제품리스트" sheetId="15" r:id="rId1"/>
    <sheet name="BOM관리리스트_생산,판매원가조정 (2)" sheetId="18" state="hidden" r:id="rId2"/>
    <sheet name="BOM관리리스트_생산원가_보고용1" sheetId="19" state="hidden" r:id="rId3"/>
    <sheet name="Sheet2" sheetId="20" state="hidden" r:id="rId4"/>
    <sheet name="Sheet1" sheetId="16" state="hidden" r:id="rId5"/>
    <sheet name="BOM수정내역" sheetId="17" state="hidden" r:id="rId6"/>
    <sheet name="상해젠피아" sheetId="25" state="hidden" r:id="rId7"/>
  </sheets>
  <definedNames>
    <definedName name="_xlnm._FilterDatabase" localSheetId="1" hidden="1">'BOM관리리스트_생산,판매원가조정 (2)'!$A$4:$AA$161</definedName>
    <definedName name="_xlnm._FilterDatabase" localSheetId="2" hidden="1">BOM관리리스트_생산원가_보고용1!$A$4:$AA$161</definedName>
    <definedName name="_xlnm._FilterDatabase" localSheetId="0" hidden="1">'닥터아제라 제품리스트'!$A$6:$I$22</definedName>
    <definedName name="_xlnm.Print_Area" localSheetId="1">'BOM관리리스트_생산,판매원가조정 (2)'!$A$1:$AR$161</definedName>
    <definedName name="_xlnm.Print_Area" localSheetId="2">BOM관리리스트_생산원가_보고용1!$D$1:$AU$160</definedName>
    <definedName name="_xlnm.Print_Area" localSheetId="0">'닥터아제라 제품리스트'!$A$1:$J$26</definedName>
    <definedName name="_xlnm.Print_Titles" localSheetId="1">'BOM관리리스트_생산,판매원가조정 (2)'!$4:$4</definedName>
    <definedName name="_xlnm.Print_Titles" localSheetId="2">BOM관리리스트_생산원가_보고용1!$4:$4</definedName>
    <definedName name="_xlnm.Print_Titles" localSheetId="0">'닥터아제라 제품리스트'!$1:$6</definedName>
  </definedNames>
  <calcPr calcId="191029"/>
  <fileRecoveryPr autoRecover="0"/>
</workbook>
</file>

<file path=xl/calcChain.xml><?xml version="1.0" encoding="utf-8"?>
<calcChain xmlns="http://schemas.openxmlformats.org/spreadsheetml/2006/main">
  <c r="J6" i="25" l="1"/>
  <c r="J7" i="25"/>
  <c r="J8" i="25"/>
  <c r="J9" i="25"/>
  <c r="J10" i="25"/>
  <c r="J11" i="25"/>
  <c r="J12" i="25"/>
  <c r="J13" i="25"/>
  <c r="J14" i="25"/>
  <c r="N14" i="25" s="1"/>
  <c r="J15" i="25"/>
  <c r="K15" i="25" s="1"/>
  <c r="J16" i="25"/>
  <c r="K16" i="25" s="1"/>
  <c r="J17" i="25"/>
  <c r="K17" i="25" s="1"/>
  <c r="J18" i="25"/>
  <c r="K18" i="25" s="1"/>
  <c r="J4" i="25"/>
  <c r="J5" i="25"/>
  <c r="J3" i="25"/>
  <c r="P18" i="25"/>
  <c r="Q18" i="25" s="1"/>
  <c r="M18" i="25"/>
  <c r="P17" i="25"/>
  <c r="Q17" i="25" s="1"/>
  <c r="M17" i="25"/>
  <c r="P16" i="25"/>
  <c r="Q16" i="25" s="1"/>
  <c r="M16" i="25"/>
  <c r="P15" i="25"/>
  <c r="Q15" i="25" s="1"/>
  <c r="M15" i="25"/>
  <c r="P14" i="25"/>
  <c r="Q14" i="25" s="1"/>
  <c r="M14" i="25"/>
  <c r="N15" i="25" l="1"/>
  <c r="N18" i="25"/>
  <c r="N17" i="25"/>
  <c r="N16" i="25"/>
  <c r="K14" i="25"/>
  <c r="P13" i="25"/>
  <c r="Q13" i="25" s="1"/>
  <c r="N13" i="25"/>
  <c r="M13" i="25"/>
  <c r="K13" i="25"/>
  <c r="P12" i="25"/>
  <c r="Q12" i="25" s="1"/>
  <c r="N12" i="25"/>
  <c r="M12" i="25"/>
  <c r="K12" i="25"/>
  <c r="P11" i="25"/>
  <c r="Q11" i="25" s="1"/>
  <c r="N11" i="25"/>
  <c r="M11" i="25"/>
  <c r="K11" i="25"/>
  <c r="P10" i="25"/>
  <c r="Q10" i="25" s="1"/>
  <c r="N10" i="25"/>
  <c r="M10" i="25"/>
  <c r="K10" i="25"/>
  <c r="P9" i="25"/>
  <c r="Q9" i="25" s="1"/>
  <c r="N9" i="25"/>
  <c r="M9" i="25"/>
  <c r="K9" i="25"/>
  <c r="P8" i="25"/>
  <c r="Q8" i="25" s="1"/>
  <c r="N8" i="25"/>
  <c r="M8" i="25"/>
  <c r="K8" i="25"/>
  <c r="P7" i="25"/>
  <c r="Q7" i="25" s="1"/>
  <c r="N7" i="25"/>
  <c r="M7" i="25"/>
  <c r="K7" i="25"/>
  <c r="P6" i="25"/>
  <c r="Q6" i="25" s="1"/>
  <c r="M6" i="25"/>
  <c r="N6" i="25"/>
  <c r="P5" i="25"/>
  <c r="Q5" i="25" s="1"/>
  <c r="M5" i="25"/>
  <c r="N5" i="25"/>
  <c r="P4" i="25"/>
  <c r="Q4" i="25" s="1"/>
  <c r="M4" i="25"/>
  <c r="N4" i="25"/>
  <c r="P3" i="25"/>
  <c r="Q3" i="25" s="1"/>
  <c r="M3" i="25"/>
  <c r="K3" i="25"/>
  <c r="N3" i="25" l="1"/>
  <c r="K6" i="25"/>
  <c r="K5" i="25"/>
  <c r="K4" i="25"/>
  <c r="P8" i="20" l="1"/>
  <c r="I3" i="20"/>
  <c r="K3" i="20" s="1"/>
  <c r="M3" i="20" s="1"/>
  <c r="G12" i="20"/>
  <c r="R199" i="19" l="1"/>
  <c r="Q199" i="19" s="1"/>
  <c r="U198" i="19"/>
  <c r="R198" i="19"/>
  <c r="Q198" i="19" s="1"/>
  <c r="N198" i="19"/>
  <c r="O198" i="19" s="1"/>
  <c r="L198" i="19"/>
  <c r="M198" i="19" s="1"/>
  <c r="U197" i="19"/>
  <c r="R197" i="19"/>
  <c r="Q197" i="19" s="1"/>
  <c r="N197" i="19"/>
  <c r="O197" i="19" s="1"/>
  <c r="L197" i="19"/>
  <c r="M197" i="19" s="1"/>
  <c r="U196" i="19"/>
  <c r="R196" i="19"/>
  <c r="Q196" i="19" s="1"/>
  <c r="N196" i="19"/>
  <c r="O196" i="19" s="1"/>
  <c r="L196" i="19"/>
  <c r="M196" i="19" s="1"/>
  <c r="U195" i="19"/>
  <c r="R195" i="19"/>
  <c r="Q195" i="19" s="1"/>
  <c r="N195" i="19"/>
  <c r="O195" i="19" s="1"/>
  <c r="L195" i="19"/>
  <c r="M195" i="19" s="1"/>
  <c r="U194" i="19"/>
  <c r="R194" i="19"/>
  <c r="Q194" i="19" s="1"/>
  <c r="N194" i="19"/>
  <c r="O194" i="19" s="1"/>
  <c r="L194" i="19"/>
  <c r="M194" i="19" s="1"/>
  <c r="U193" i="19"/>
  <c r="R193" i="19"/>
  <c r="N193" i="19"/>
  <c r="O193" i="19" s="1"/>
  <c r="L193" i="19"/>
  <c r="M193" i="19" s="1"/>
  <c r="U192" i="19"/>
  <c r="R192" i="19"/>
  <c r="N192" i="19"/>
  <c r="O192" i="19" s="1"/>
  <c r="L192" i="19"/>
  <c r="M192" i="19" s="1"/>
  <c r="U191" i="19"/>
  <c r="R191" i="19"/>
  <c r="N191" i="19"/>
  <c r="O191" i="19" s="1"/>
  <c r="L191" i="19"/>
  <c r="M191" i="19" s="1"/>
  <c r="U190" i="19"/>
  <c r="R190" i="19"/>
  <c r="N190" i="19"/>
  <c r="O190" i="19" s="1"/>
  <c r="L190" i="19"/>
  <c r="M190" i="19" s="1"/>
  <c r="U189" i="19"/>
  <c r="R189" i="19"/>
  <c r="N189" i="19"/>
  <c r="O189" i="19" s="1"/>
  <c r="L189" i="19"/>
  <c r="M189" i="19" s="1"/>
  <c r="U188" i="19"/>
  <c r="R188" i="19"/>
  <c r="Q188" i="19" s="1"/>
  <c r="N188" i="19"/>
  <c r="O188" i="19" s="1"/>
  <c r="L188" i="19"/>
  <c r="M188" i="19" s="1"/>
  <c r="U187" i="19"/>
  <c r="R187" i="19"/>
  <c r="Q187" i="19" s="1"/>
  <c r="N187" i="19"/>
  <c r="O187" i="19" s="1"/>
  <c r="L187" i="19"/>
  <c r="M187" i="19" s="1"/>
  <c r="U186" i="19"/>
  <c r="R186" i="19"/>
  <c r="Q186" i="19" s="1"/>
  <c r="N186" i="19"/>
  <c r="O186" i="19" s="1"/>
  <c r="L186" i="19"/>
  <c r="M186" i="19" s="1"/>
  <c r="U185" i="19"/>
  <c r="R185" i="19"/>
  <c r="Q185" i="19" s="1"/>
  <c r="N185" i="19"/>
  <c r="O185" i="19" s="1"/>
  <c r="L185" i="19"/>
  <c r="M185" i="19" s="1"/>
  <c r="U184" i="19"/>
  <c r="R184" i="19"/>
  <c r="Q184" i="19" s="1"/>
  <c r="N184" i="19"/>
  <c r="O184" i="19" s="1"/>
  <c r="L184" i="19"/>
  <c r="M184" i="19" s="1"/>
  <c r="V183" i="19"/>
  <c r="R183" i="19" s="1"/>
  <c r="Q183" i="19" s="1"/>
  <c r="U183" i="19"/>
  <c r="N183" i="19"/>
  <c r="O183" i="19" s="1"/>
  <c r="L183" i="19"/>
  <c r="M183" i="19" s="1"/>
  <c r="V182" i="19"/>
  <c r="R182" i="19" s="1"/>
  <c r="Q182" i="19" s="1"/>
  <c r="U182" i="19"/>
  <c r="N182" i="19"/>
  <c r="O182" i="19" s="1"/>
  <c r="L182" i="19"/>
  <c r="M182" i="19" s="1"/>
  <c r="V181" i="19"/>
  <c r="R181" i="19" s="1"/>
  <c r="Q181" i="19" s="1"/>
  <c r="U181" i="19"/>
  <c r="N181" i="19"/>
  <c r="O181" i="19" s="1"/>
  <c r="L181" i="19"/>
  <c r="M181" i="19" s="1"/>
  <c r="V180" i="19"/>
  <c r="R180" i="19" s="1"/>
  <c r="Q180" i="19" s="1"/>
  <c r="U180" i="19"/>
  <c r="N180" i="19"/>
  <c r="O180" i="19" s="1"/>
  <c r="L180" i="19"/>
  <c r="M180" i="19" s="1"/>
  <c r="V179" i="19"/>
  <c r="R179" i="19" s="1"/>
  <c r="Q179" i="19" s="1"/>
  <c r="U179" i="19"/>
  <c r="N179" i="19"/>
  <c r="O179" i="19" s="1"/>
  <c r="L179" i="19"/>
  <c r="M179" i="19" s="1"/>
  <c r="V178" i="19"/>
  <c r="R178" i="19" s="1"/>
  <c r="Q178" i="19" s="1"/>
  <c r="U178" i="19"/>
  <c r="N178" i="19"/>
  <c r="O178" i="19" s="1"/>
  <c r="L178" i="19"/>
  <c r="M178" i="19" s="1"/>
  <c r="V177" i="19"/>
  <c r="R177" i="19" s="1"/>
  <c r="Q177" i="19" s="1"/>
  <c r="U177" i="19"/>
  <c r="N177" i="19"/>
  <c r="O177" i="19" s="1"/>
  <c r="L177" i="19"/>
  <c r="M177" i="19" s="1"/>
  <c r="T174" i="19"/>
  <c r="U174" i="19" s="1"/>
  <c r="R173" i="19"/>
  <c r="Q173" i="19" s="1"/>
  <c r="R172" i="19"/>
  <c r="Q172" i="19" s="1"/>
  <c r="V171" i="19"/>
  <c r="R171" i="19" s="1"/>
  <c r="Q171" i="19" s="1"/>
  <c r="U171" i="19"/>
  <c r="W170" i="19"/>
  <c r="R170" i="19" s="1"/>
  <c r="Q170" i="19" s="1"/>
  <c r="U170" i="19"/>
  <c r="X169" i="19"/>
  <c r="R169" i="19" s="1"/>
  <c r="Q169" i="19" s="1"/>
  <c r="U169" i="19"/>
  <c r="X168" i="19"/>
  <c r="R168" i="19" s="1"/>
  <c r="Q168" i="19" s="1"/>
  <c r="U168" i="19"/>
  <c r="U167" i="19"/>
  <c r="R167" i="19"/>
  <c r="Q167" i="19" s="1"/>
  <c r="M167" i="19"/>
  <c r="W166" i="19"/>
  <c r="S166" i="19"/>
  <c r="O166" i="19"/>
  <c r="X165" i="19"/>
  <c r="R165" i="19" s="1"/>
  <c r="Q165" i="19" s="1"/>
  <c r="O165" i="19"/>
  <c r="X164" i="19"/>
  <c r="V164" i="19"/>
  <c r="O164" i="19"/>
  <c r="R161" i="19"/>
  <c r="Q161" i="19" s="1"/>
  <c r="N161" i="19"/>
  <c r="O161" i="19" s="1"/>
  <c r="L161" i="19"/>
  <c r="M161" i="19" s="1"/>
  <c r="AQ160" i="19"/>
  <c r="AC160" i="19" s="1"/>
  <c r="U160" i="19"/>
  <c r="R160" i="19"/>
  <c r="Q160" i="19" s="1"/>
  <c r="N160" i="19"/>
  <c r="O160" i="19" s="1"/>
  <c r="L160" i="19"/>
  <c r="M160" i="19" s="1"/>
  <c r="AC159" i="19"/>
  <c r="U159" i="19"/>
  <c r="R159" i="19"/>
  <c r="Q159" i="19" s="1"/>
  <c r="N159" i="19"/>
  <c r="O159" i="19" s="1"/>
  <c r="L159" i="19"/>
  <c r="M159" i="19" s="1"/>
  <c r="R158" i="19"/>
  <c r="Q158" i="19" s="1"/>
  <c r="N158" i="19"/>
  <c r="O158" i="19" s="1"/>
  <c r="L158" i="19"/>
  <c r="M158" i="19" s="1"/>
  <c r="AQ157" i="19"/>
  <c r="AC157" i="19" s="1"/>
  <c r="T157" i="19"/>
  <c r="N157" i="19"/>
  <c r="O157" i="19" s="1"/>
  <c r="L157" i="19"/>
  <c r="M157" i="19" s="1"/>
  <c r="U156" i="19"/>
  <c r="R156" i="19"/>
  <c r="Q156" i="19" s="1"/>
  <c r="N156" i="19"/>
  <c r="O156" i="19" s="1"/>
  <c r="L156" i="19"/>
  <c r="M156" i="19" s="1"/>
  <c r="U155" i="19"/>
  <c r="R155" i="19"/>
  <c r="Q155" i="19" s="1"/>
  <c r="N155" i="19"/>
  <c r="O155" i="19" s="1"/>
  <c r="L155" i="19"/>
  <c r="M155" i="19" s="1"/>
  <c r="U154" i="19"/>
  <c r="R154" i="19"/>
  <c r="Q154" i="19" s="1"/>
  <c r="N154" i="19"/>
  <c r="O154" i="19" s="1"/>
  <c r="L154" i="19"/>
  <c r="M154" i="19" s="1"/>
  <c r="AQ153" i="19"/>
  <c r="AC153" i="19" s="1"/>
  <c r="U153" i="19"/>
  <c r="R153" i="19"/>
  <c r="Q153" i="19" s="1"/>
  <c r="N153" i="19"/>
  <c r="O153" i="19" s="1"/>
  <c r="L153" i="19"/>
  <c r="M153" i="19" s="1"/>
  <c r="AQ152" i="19"/>
  <c r="AC152" i="19" s="1"/>
  <c r="U152" i="19"/>
  <c r="R152" i="19"/>
  <c r="Q152" i="19" s="1"/>
  <c r="N152" i="19"/>
  <c r="O152" i="19" s="1"/>
  <c r="L152" i="19"/>
  <c r="M152" i="19" s="1"/>
  <c r="AR151" i="19"/>
  <c r="AQ151" i="19"/>
  <c r="AF151" i="19"/>
  <c r="W151" i="19"/>
  <c r="R151" i="19" s="1"/>
  <c r="Q151" i="19" s="1"/>
  <c r="U151" i="19"/>
  <c r="N151" i="19"/>
  <c r="O151" i="19" s="1"/>
  <c r="L151" i="19"/>
  <c r="M151" i="19" s="1"/>
  <c r="AR150" i="19"/>
  <c r="AF150" i="19"/>
  <c r="U150" i="19"/>
  <c r="R150" i="19"/>
  <c r="Q150" i="19" s="1"/>
  <c r="N150" i="19"/>
  <c r="O150" i="19" s="1"/>
  <c r="L150" i="19"/>
  <c r="M150" i="19" s="1"/>
  <c r="AR149" i="19"/>
  <c r="AF149" i="19"/>
  <c r="U149" i="19"/>
  <c r="R149" i="19"/>
  <c r="Q149" i="19" s="1"/>
  <c r="N149" i="19"/>
  <c r="O149" i="19" s="1"/>
  <c r="L149" i="19"/>
  <c r="M149" i="19" s="1"/>
  <c r="AR148" i="19"/>
  <c r="AF148" i="19"/>
  <c r="V148" i="19"/>
  <c r="R148" i="19" s="1"/>
  <c r="Q148" i="19" s="1"/>
  <c r="U148" i="19"/>
  <c r="N148" i="19"/>
  <c r="O148" i="19" s="1"/>
  <c r="L148" i="19"/>
  <c r="M148" i="19" s="1"/>
  <c r="AQ147" i="19"/>
  <c r="AC147" i="19" s="1"/>
  <c r="U147" i="19"/>
  <c r="R147" i="19"/>
  <c r="Q147" i="19" s="1"/>
  <c r="N147" i="19"/>
  <c r="O147" i="19" s="1"/>
  <c r="L147" i="19"/>
  <c r="M147" i="19" s="1"/>
  <c r="W146" i="19"/>
  <c r="R146" i="19" s="1"/>
  <c r="Q146" i="19" s="1"/>
  <c r="U146" i="19"/>
  <c r="N146" i="19"/>
  <c r="O146" i="19" s="1"/>
  <c r="L146" i="19"/>
  <c r="M146" i="19" s="1"/>
  <c r="U145" i="19"/>
  <c r="R145" i="19"/>
  <c r="Q145" i="19" s="1"/>
  <c r="N145" i="19"/>
  <c r="O145" i="19" s="1"/>
  <c r="L145" i="19"/>
  <c r="M145" i="19" s="1"/>
  <c r="X144" i="19"/>
  <c r="R144" i="19" s="1"/>
  <c r="Q144" i="19" s="1"/>
  <c r="U144" i="19"/>
  <c r="N144" i="19"/>
  <c r="O144" i="19" s="1"/>
  <c r="L144" i="19"/>
  <c r="M144" i="19" s="1"/>
  <c r="R143" i="19"/>
  <c r="Q143" i="19" s="1"/>
  <c r="N143" i="19"/>
  <c r="O143" i="19" s="1"/>
  <c r="L143" i="19"/>
  <c r="M143" i="19" s="1"/>
  <c r="W142" i="19"/>
  <c r="R142" i="19" s="1"/>
  <c r="Q142" i="19" s="1"/>
  <c r="N142" i="19"/>
  <c r="O142" i="19" s="1"/>
  <c r="L142" i="19"/>
  <c r="M142" i="19" s="1"/>
  <c r="AQ141" i="19"/>
  <c r="AC141" i="19" s="1"/>
  <c r="U141" i="19"/>
  <c r="R141" i="19"/>
  <c r="Q141" i="19" s="1"/>
  <c r="N141" i="19"/>
  <c r="O141" i="19" s="1"/>
  <c r="L141" i="19"/>
  <c r="M141" i="19" s="1"/>
  <c r="AQ140" i="19"/>
  <c r="AC140" i="19" s="1"/>
  <c r="U140" i="19"/>
  <c r="R140" i="19"/>
  <c r="Q140" i="19" s="1"/>
  <c r="N140" i="19"/>
  <c r="O140" i="19" s="1"/>
  <c r="L140" i="19"/>
  <c r="M140" i="19" s="1"/>
  <c r="AC139" i="19"/>
  <c r="U139" i="19"/>
  <c r="R139" i="19"/>
  <c r="Q139" i="19" s="1"/>
  <c r="N139" i="19"/>
  <c r="O139" i="19" s="1"/>
  <c r="L139" i="19"/>
  <c r="M139" i="19" s="1"/>
  <c r="AC138" i="19"/>
  <c r="U138" i="19"/>
  <c r="R138" i="19"/>
  <c r="Q138" i="19" s="1"/>
  <c r="N138" i="19"/>
  <c r="O138" i="19" s="1"/>
  <c r="L138" i="19"/>
  <c r="M138" i="19" s="1"/>
  <c r="AL137" i="19"/>
  <c r="AC137" i="19" s="1"/>
  <c r="U137" i="19"/>
  <c r="R137" i="19"/>
  <c r="Q137" i="19" s="1"/>
  <c r="N137" i="19"/>
  <c r="O137" i="19" s="1"/>
  <c r="L137" i="19"/>
  <c r="M137" i="19" s="1"/>
  <c r="U136" i="19"/>
  <c r="R136" i="19"/>
  <c r="Q136" i="19" s="1"/>
  <c r="N136" i="19"/>
  <c r="O136" i="19" s="1"/>
  <c r="L136" i="19"/>
  <c r="M136" i="19" s="1"/>
  <c r="U135" i="19"/>
  <c r="R135" i="19"/>
  <c r="Q135" i="19" s="1"/>
  <c r="N135" i="19"/>
  <c r="O135" i="19" s="1"/>
  <c r="L135" i="19"/>
  <c r="M135" i="19" s="1"/>
  <c r="U134" i="19"/>
  <c r="R134" i="19"/>
  <c r="Q134" i="19" s="1"/>
  <c r="N134" i="19"/>
  <c r="O134" i="19" s="1"/>
  <c r="L134" i="19"/>
  <c r="M134" i="19" s="1"/>
  <c r="U133" i="19"/>
  <c r="R133" i="19"/>
  <c r="Q133" i="19" s="1"/>
  <c r="N133" i="19"/>
  <c r="O133" i="19" s="1"/>
  <c r="L133" i="19"/>
  <c r="M133" i="19" s="1"/>
  <c r="U132" i="19"/>
  <c r="R132" i="19"/>
  <c r="Q132" i="19" s="1"/>
  <c r="N132" i="19"/>
  <c r="O132" i="19" s="1"/>
  <c r="L132" i="19"/>
  <c r="M132" i="19" s="1"/>
  <c r="AC131" i="19"/>
  <c r="U131" i="19"/>
  <c r="R131" i="19"/>
  <c r="Q131" i="19" s="1"/>
  <c r="N131" i="19"/>
  <c r="O131" i="19" s="1"/>
  <c r="L131" i="19"/>
  <c r="M131" i="19" s="1"/>
  <c r="AC130" i="19"/>
  <c r="X130" i="19"/>
  <c r="V130" i="19"/>
  <c r="U130" i="19"/>
  <c r="N130" i="19"/>
  <c r="O130" i="19" s="1"/>
  <c r="L130" i="19"/>
  <c r="M130" i="19" s="1"/>
  <c r="AR129" i="19"/>
  <c r="AL129" i="19"/>
  <c r="AK129" i="19"/>
  <c r="U129" i="19"/>
  <c r="R129" i="19"/>
  <c r="Q129" i="19" s="1"/>
  <c r="N129" i="19"/>
  <c r="O129" i="19" s="1"/>
  <c r="L129" i="19"/>
  <c r="M129" i="19" s="1"/>
  <c r="AQ128" i="19"/>
  <c r="AC128" i="19" s="1"/>
  <c r="U128" i="19"/>
  <c r="R128" i="19"/>
  <c r="Q128" i="19" s="1"/>
  <c r="N128" i="19"/>
  <c r="O128" i="19" s="1"/>
  <c r="L128" i="19"/>
  <c r="M128" i="19" s="1"/>
  <c r="U127" i="19"/>
  <c r="R127" i="19"/>
  <c r="Q127" i="19" s="1"/>
  <c r="N127" i="19"/>
  <c r="O127" i="19" s="1"/>
  <c r="L127" i="19"/>
  <c r="M127" i="19" s="1"/>
  <c r="U126" i="19"/>
  <c r="R126" i="19"/>
  <c r="Q126" i="19" s="1"/>
  <c r="N126" i="19"/>
  <c r="O126" i="19" s="1"/>
  <c r="L126" i="19"/>
  <c r="M126" i="19" s="1"/>
  <c r="U125" i="19"/>
  <c r="R125" i="19"/>
  <c r="Q125" i="19" s="1"/>
  <c r="N125" i="19"/>
  <c r="O125" i="19" s="1"/>
  <c r="L125" i="19"/>
  <c r="M125" i="19" s="1"/>
  <c r="AM124" i="19"/>
  <c r="AL124" i="19"/>
  <c r="U124" i="19"/>
  <c r="R124" i="19"/>
  <c r="Q124" i="19" s="1"/>
  <c r="N124" i="19"/>
  <c r="O124" i="19" s="1"/>
  <c r="L124" i="19"/>
  <c r="M124" i="19" s="1"/>
  <c r="AM123" i="19"/>
  <c r="AL123" i="19"/>
  <c r="U123" i="19"/>
  <c r="R123" i="19"/>
  <c r="Q123" i="19" s="1"/>
  <c r="N123" i="19"/>
  <c r="O123" i="19" s="1"/>
  <c r="L123" i="19"/>
  <c r="M123" i="19" s="1"/>
  <c r="AM122" i="19"/>
  <c r="AL122" i="19"/>
  <c r="U122" i="19"/>
  <c r="R122" i="19"/>
  <c r="Q122" i="19" s="1"/>
  <c r="N122" i="19"/>
  <c r="O122" i="19" s="1"/>
  <c r="L122" i="19"/>
  <c r="M122" i="19" s="1"/>
  <c r="AQ121" i="19"/>
  <c r="AC121" i="19" s="1"/>
  <c r="U121" i="19"/>
  <c r="R121" i="19"/>
  <c r="Q121" i="19" s="1"/>
  <c r="N121" i="19"/>
  <c r="O121" i="19" s="1"/>
  <c r="L121" i="19"/>
  <c r="M121" i="19" s="1"/>
  <c r="AQ120" i="19"/>
  <c r="AC120" i="19" s="1"/>
  <c r="U120" i="19"/>
  <c r="R120" i="19"/>
  <c r="Q120" i="19" s="1"/>
  <c r="N120" i="19"/>
  <c r="O120" i="19" s="1"/>
  <c r="L120" i="19"/>
  <c r="M120" i="19" s="1"/>
  <c r="AQ119" i="19"/>
  <c r="AC119" i="19" s="1"/>
  <c r="U119" i="19"/>
  <c r="R119" i="19"/>
  <c r="Q119" i="19" s="1"/>
  <c r="N119" i="19"/>
  <c r="O119" i="19" s="1"/>
  <c r="L119" i="19"/>
  <c r="M119" i="19" s="1"/>
  <c r="AC118" i="19"/>
  <c r="X118" i="19"/>
  <c r="V118" i="19"/>
  <c r="U118" i="19"/>
  <c r="N118" i="19"/>
  <c r="O118" i="19" s="1"/>
  <c r="L118" i="19"/>
  <c r="M118" i="19" s="1"/>
  <c r="AC117" i="19"/>
  <c r="X117" i="19"/>
  <c r="V117" i="19"/>
  <c r="U117" i="19"/>
  <c r="N117" i="19"/>
  <c r="O117" i="19" s="1"/>
  <c r="L117" i="19"/>
  <c r="M117" i="19" s="1"/>
  <c r="AC116" i="19"/>
  <c r="X116" i="19"/>
  <c r="V116" i="19"/>
  <c r="U116" i="19"/>
  <c r="N116" i="19"/>
  <c r="O116" i="19" s="1"/>
  <c r="L116" i="19"/>
  <c r="M116" i="19" s="1"/>
  <c r="AC115" i="19"/>
  <c r="X115" i="19"/>
  <c r="V115" i="19"/>
  <c r="U115" i="19"/>
  <c r="N115" i="19"/>
  <c r="O115" i="19" s="1"/>
  <c r="L115" i="19"/>
  <c r="M115" i="19" s="1"/>
  <c r="AC114" i="19"/>
  <c r="X114" i="19"/>
  <c r="V114" i="19"/>
  <c r="U114" i="19"/>
  <c r="N114" i="19"/>
  <c r="O114" i="19" s="1"/>
  <c r="L114" i="19"/>
  <c r="M114" i="19" s="1"/>
  <c r="AQ113" i="19"/>
  <c r="AC113" i="19" s="1"/>
  <c r="R113" i="19"/>
  <c r="Q113" i="19" s="1"/>
  <c r="N113" i="19"/>
  <c r="O113" i="19" s="1"/>
  <c r="L113" i="19"/>
  <c r="M113" i="19" s="1"/>
  <c r="AC112" i="19"/>
  <c r="V112" i="19"/>
  <c r="R112" i="19" s="1"/>
  <c r="Q112" i="19" s="1"/>
  <c r="U112" i="19"/>
  <c r="N112" i="19"/>
  <c r="O112" i="19" s="1"/>
  <c r="L112" i="19"/>
  <c r="M112" i="19" s="1"/>
  <c r="U111" i="19"/>
  <c r="R111" i="19"/>
  <c r="Q111" i="19" s="1"/>
  <c r="N111" i="19"/>
  <c r="O111" i="19" s="1"/>
  <c r="L111" i="19"/>
  <c r="M111" i="19" s="1"/>
  <c r="AL110" i="19"/>
  <c r="AC110" i="19" s="1"/>
  <c r="T110" i="19"/>
  <c r="U110" i="19" s="1"/>
  <c r="S110" i="19"/>
  <c r="N110" i="19"/>
  <c r="O110" i="19" s="1"/>
  <c r="L110" i="19"/>
  <c r="M110" i="19" s="1"/>
  <c r="U109" i="19"/>
  <c r="R109" i="19"/>
  <c r="Q109" i="19" s="1"/>
  <c r="N109" i="19"/>
  <c r="O109" i="19" s="1"/>
  <c r="L109" i="19"/>
  <c r="M109" i="19" s="1"/>
  <c r="AC108" i="19"/>
  <c r="X108" i="19"/>
  <c r="V108" i="19"/>
  <c r="U108" i="19"/>
  <c r="N108" i="19"/>
  <c r="O108" i="19" s="1"/>
  <c r="L108" i="19"/>
  <c r="M108" i="19" s="1"/>
  <c r="U107" i="19"/>
  <c r="R107" i="19"/>
  <c r="Q107" i="19" s="1"/>
  <c r="N107" i="19"/>
  <c r="O107" i="19" s="1"/>
  <c r="L107" i="19"/>
  <c r="M107" i="19" s="1"/>
  <c r="U106" i="19"/>
  <c r="R106" i="19"/>
  <c r="Q106" i="19" s="1"/>
  <c r="N106" i="19"/>
  <c r="O106" i="19" s="1"/>
  <c r="L106" i="19"/>
  <c r="M106" i="19" s="1"/>
  <c r="U105" i="19"/>
  <c r="R105" i="19"/>
  <c r="Q105" i="19" s="1"/>
  <c r="N105" i="19"/>
  <c r="O105" i="19" s="1"/>
  <c r="L105" i="19"/>
  <c r="M105" i="19" s="1"/>
  <c r="V104" i="19"/>
  <c r="R104" i="19" s="1"/>
  <c r="Q104" i="19" s="1"/>
  <c r="U104" i="19"/>
  <c r="N104" i="19"/>
  <c r="O104" i="19" s="1"/>
  <c r="L104" i="19"/>
  <c r="M104" i="19" s="1"/>
  <c r="U103" i="19"/>
  <c r="R103" i="19"/>
  <c r="Q103" i="19" s="1"/>
  <c r="N103" i="19"/>
  <c r="O103" i="19" s="1"/>
  <c r="L103" i="19"/>
  <c r="M103" i="19" s="1"/>
  <c r="U102" i="19"/>
  <c r="R102" i="19"/>
  <c r="Q102" i="19" s="1"/>
  <c r="N102" i="19"/>
  <c r="O102" i="19" s="1"/>
  <c r="L102" i="19"/>
  <c r="M102" i="19" s="1"/>
  <c r="U101" i="19"/>
  <c r="R101" i="19"/>
  <c r="Q101" i="19" s="1"/>
  <c r="N101" i="19"/>
  <c r="O101" i="19" s="1"/>
  <c r="L101" i="19"/>
  <c r="M101" i="19" s="1"/>
  <c r="U100" i="19"/>
  <c r="R100" i="19"/>
  <c r="Q100" i="19" s="1"/>
  <c r="N100" i="19"/>
  <c r="O100" i="19" s="1"/>
  <c r="L100" i="19"/>
  <c r="M100" i="19" s="1"/>
  <c r="W99" i="19"/>
  <c r="R99" i="19" s="1"/>
  <c r="Q99" i="19" s="1"/>
  <c r="U99" i="19"/>
  <c r="N99" i="19"/>
  <c r="O99" i="19" s="1"/>
  <c r="L99" i="19"/>
  <c r="M99" i="19" s="1"/>
  <c r="U98" i="19"/>
  <c r="R98" i="19"/>
  <c r="Q98" i="19" s="1"/>
  <c r="N98" i="19"/>
  <c r="O98" i="19" s="1"/>
  <c r="L98" i="19"/>
  <c r="M98" i="19" s="1"/>
  <c r="AC97" i="19"/>
  <c r="U97" i="19"/>
  <c r="R97" i="19"/>
  <c r="Q97" i="19" s="1"/>
  <c r="N97" i="19"/>
  <c r="O97" i="19" s="1"/>
  <c r="L97" i="19"/>
  <c r="M97" i="19" s="1"/>
  <c r="W96" i="19"/>
  <c r="R96" i="19" s="1"/>
  <c r="Q96" i="19" s="1"/>
  <c r="U96" i="19"/>
  <c r="N96" i="19"/>
  <c r="O96" i="19" s="1"/>
  <c r="L96" i="19"/>
  <c r="M96" i="19" s="1"/>
  <c r="W95" i="19"/>
  <c r="V95" i="19"/>
  <c r="U95" i="19"/>
  <c r="N95" i="19"/>
  <c r="O95" i="19" s="1"/>
  <c r="L95" i="19"/>
  <c r="M95" i="19" s="1"/>
  <c r="U94" i="19"/>
  <c r="R94" i="19"/>
  <c r="Q94" i="19" s="1"/>
  <c r="N94" i="19"/>
  <c r="O94" i="19" s="1"/>
  <c r="L94" i="19"/>
  <c r="M94" i="19" s="1"/>
  <c r="W93" i="19"/>
  <c r="V93" i="19"/>
  <c r="U93" i="19"/>
  <c r="N93" i="19"/>
  <c r="O93" i="19" s="1"/>
  <c r="L93" i="19"/>
  <c r="M93" i="19" s="1"/>
  <c r="V92" i="19"/>
  <c r="R92" i="19" s="1"/>
  <c r="Q92" i="19" s="1"/>
  <c r="U92" i="19"/>
  <c r="N92" i="19"/>
  <c r="O92" i="19" s="1"/>
  <c r="L92" i="19"/>
  <c r="M92" i="19" s="1"/>
  <c r="V91" i="19"/>
  <c r="R91" i="19" s="1"/>
  <c r="Q91" i="19" s="1"/>
  <c r="U91" i="19"/>
  <c r="N91" i="19"/>
  <c r="O91" i="19" s="1"/>
  <c r="L91" i="19"/>
  <c r="M91" i="19" s="1"/>
  <c r="U90" i="19"/>
  <c r="R90" i="19"/>
  <c r="Q90" i="19" s="1"/>
  <c r="N90" i="19"/>
  <c r="O90" i="19" s="1"/>
  <c r="L90" i="19"/>
  <c r="M90" i="19" s="1"/>
  <c r="U89" i="19"/>
  <c r="R89" i="19"/>
  <c r="Q89" i="19" s="1"/>
  <c r="N89" i="19"/>
  <c r="O89" i="19" s="1"/>
  <c r="L89" i="19"/>
  <c r="M89" i="19" s="1"/>
  <c r="U88" i="19"/>
  <c r="R88" i="19"/>
  <c r="Q88" i="19" s="1"/>
  <c r="N88" i="19"/>
  <c r="O88" i="19" s="1"/>
  <c r="L88" i="19"/>
  <c r="M88" i="19" s="1"/>
  <c r="U87" i="19"/>
  <c r="R87" i="19"/>
  <c r="Q87" i="19" s="1"/>
  <c r="N87" i="19"/>
  <c r="O87" i="19" s="1"/>
  <c r="L87" i="19"/>
  <c r="M87" i="19" s="1"/>
  <c r="U86" i="19"/>
  <c r="R86" i="19"/>
  <c r="Q86" i="19" s="1"/>
  <c r="N86" i="19"/>
  <c r="O86" i="19" s="1"/>
  <c r="L86" i="19"/>
  <c r="M86" i="19" s="1"/>
  <c r="U85" i="19"/>
  <c r="R85" i="19"/>
  <c r="Q85" i="19" s="1"/>
  <c r="N85" i="19"/>
  <c r="O85" i="19" s="1"/>
  <c r="L85" i="19"/>
  <c r="M85" i="19" s="1"/>
  <c r="X84" i="19"/>
  <c r="V84" i="19"/>
  <c r="U84" i="19"/>
  <c r="N84" i="19"/>
  <c r="O84" i="19" s="1"/>
  <c r="L84" i="19"/>
  <c r="M84" i="19" s="1"/>
  <c r="X83" i="19"/>
  <c r="V83" i="19"/>
  <c r="U83" i="19"/>
  <c r="N83" i="19"/>
  <c r="O83" i="19" s="1"/>
  <c r="L83" i="19"/>
  <c r="M83" i="19" s="1"/>
  <c r="V82" i="19"/>
  <c r="R82" i="19" s="1"/>
  <c r="Q82" i="19" s="1"/>
  <c r="U82" i="19"/>
  <c r="N82" i="19"/>
  <c r="O82" i="19" s="1"/>
  <c r="L82" i="19"/>
  <c r="M82" i="19" s="1"/>
  <c r="W81" i="19"/>
  <c r="R81" i="19" s="1"/>
  <c r="Q81" i="19" s="1"/>
  <c r="U81" i="19"/>
  <c r="N81" i="19"/>
  <c r="O81" i="19" s="1"/>
  <c r="L81" i="19"/>
  <c r="M81" i="19" s="1"/>
  <c r="U80" i="19"/>
  <c r="R80" i="19"/>
  <c r="Q80" i="19" s="1"/>
  <c r="N80" i="19"/>
  <c r="O80" i="19" s="1"/>
  <c r="L80" i="19"/>
  <c r="M80" i="19" s="1"/>
  <c r="U79" i="19"/>
  <c r="R79" i="19"/>
  <c r="Q79" i="19" s="1"/>
  <c r="N79" i="19"/>
  <c r="O79" i="19" s="1"/>
  <c r="L79" i="19"/>
  <c r="M79" i="19" s="1"/>
  <c r="U78" i="19"/>
  <c r="R78" i="19"/>
  <c r="Q78" i="19" s="1"/>
  <c r="N78" i="19"/>
  <c r="O78" i="19" s="1"/>
  <c r="L78" i="19"/>
  <c r="M78" i="19" s="1"/>
  <c r="W77" i="19"/>
  <c r="R77" i="19" s="1"/>
  <c r="Q77" i="19" s="1"/>
  <c r="U77" i="19"/>
  <c r="N77" i="19"/>
  <c r="O77" i="19" s="1"/>
  <c r="L77" i="19"/>
  <c r="M77" i="19" s="1"/>
  <c r="U76" i="19"/>
  <c r="R76" i="19"/>
  <c r="Q76" i="19" s="1"/>
  <c r="N76" i="19"/>
  <c r="O76" i="19" s="1"/>
  <c r="L76" i="19"/>
  <c r="M76" i="19" s="1"/>
  <c r="U75" i="19"/>
  <c r="R75" i="19"/>
  <c r="Q75" i="19" s="1"/>
  <c r="N75" i="19"/>
  <c r="O75" i="19" s="1"/>
  <c r="L75" i="19"/>
  <c r="M75" i="19" s="1"/>
  <c r="U74" i="19"/>
  <c r="R74" i="19"/>
  <c r="Q74" i="19" s="1"/>
  <c r="N74" i="19"/>
  <c r="O74" i="19" s="1"/>
  <c r="L74" i="19"/>
  <c r="M74" i="19" s="1"/>
  <c r="V73" i="19"/>
  <c r="R73" i="19" s="1"/>
  <c r="Q73" i="19" s="1"/>
  <c r="U73" i="19"/>
  <c r="N73" i="19"/>
  <c r="O73" i="19" s="1"/>
  <c r="L73" i="19"/>
  <c r="M73" i="19" s="1"/>
  <c r="V72" i="19"/>
  <c r="R72" i="19" s="1"/>
  <c r="Q72" i="19" s="1"/>
  <c r="U72" i="19"/>
  <c r="N72" i="19"/>
  <c r="O72" i="19" s="1"/>
  <c r="L72" i="19"/>
  <c r="M72" i="19" s="1"/>
  <c r="W71" i="19"/>
  <c r="V71" i="19"/>
  <c r="U71" i="19"/>
  <c r="N71" i="19"/>
  <c r="O71" i="19" s="1"/>
  <c r="L71" i="19"/>
  <c r="M71" i="19" s="1"/>
  <c r="AC70" i="19"/>
  <c r="U70" i="19"/>
  <c r="R70" i="19"/>
  <c r="Q70" i="19" s="1"/>
  <c r="N70" i="19"/>
  <c r="O70" i="19" s="1"/>
  <c r="L70" i="19"/>
  <c r="M70" i="19" s="1"/>
  <c r="W69" i="19"/>
  <c r="R69" i="19" s="1"/>
  <c r="Q69" i="19" s="1"/>
  <c r="U69" i="19"/>
  <c r="N69" i="19"/>
  <c r="O69" i="19" s="1"/>
  <c r="L69" i="19"/>
  <c r="M69" i="19" s="1"/>
  <c r="W68" i="19"/>
  <c r="R68" i="19" s="1"/>
  <c r="Q68" i="19" s="1"/>
  <c r="U68" i="19"/>
  <c r="N68" i="19"/>
  <c r="O68" i="19" s="1"/>
  <c r="L68" i="19"/>
  <c r="M68" i="19" s="1"/>
  <c r="W67" i="19"/>
  <c r="R67" i="19" s="1"/>
  <c r="Q67" i="19" s="1"/>
  <c r="U67" i="19"/>
  <c r="N67" i="19"/>
  <c r="O67" i="19" s="1"/>
  <c r="L67" i="19"/>
  <c r="M67" i="19" s="1"/>
  <c r="AC66" i="19"/>
  <c r="U66" i="19"/>
  <c r="R66" i="19"/>
  <c r="Q66" i="19" s="1"/>
  <c r="N66" i="19"/>
  <c r="O66" i="19" s="1"/>
  <c r="L66" i="19"/>
  <c r="M66" i="19" s="1"/>
  <c r="AC65" i="19"/>
  <c r="U65" i="19"/>
  <c r="R65" i="19"/>
  <c r="Q65" i="19" s="1"/>
  <c r="N65" i="19"/>
  <c r="O65" i="19" s="1"/>
  <c r="L65" i="19"/>
  <c r="M65" i="19" s="1"/>
  <c r="AC64" i="19"/>
  <c r="U64" i="19"/>
  <c r="R64" i="19"/>
  <c r="Q64" i="19" s="1"/>
  <c r="N64" i="19"/>
  <c r="O64" i="19" s="1"/>
  <c r="L64" i="19"/>
  <c r="M64" i="19" s="1"/>
  <c r="AC63" i="19"/>
  <c r="U63" i="19"/>
  <c r="R63" i="19"/>
  <c r="Q63" i="19" s="1"/>
  <c r="N63" i="19"/>
  <c r="O63" i="19" s="1"/>
  <c r="L63" i="19"/>
  <c r="M63" i="19" s="1"/>
  <c r="AC62" i="19"/>
  <c r="U62" i="19"/>
  <c r="R62" i="19"/>
  <c r="Q62" i="19" s="1"/>
  <c r="N62" i="19"/>
  <c r="O62" i="19" s="1"/>
  <c r="L62" i="19"/>
  <c r="M62" i="19" s="1"/>
  <c r="W61" i="19"/>
  <c r="R61" i="19" s="1"/>
  <c r="Q61" i="19" s="1"/>
  <c r="U61" i="19"/>
  <c r="N61" i="19"/>
  <c r="O61" i="19" s="1"/>
  <c r="L61" i="19"/>
  <c r="M61" i="19" s="1"/>
  <c r="W60" i="19"/>
  <c r="R60" i="19" s="1"/>
  <c r="Q60" i="19" s="1"/>
  <c r="U60" i="19"/>
  <c r="N60" i="19"/>
  <c r="O60" i="19" s="1"/>
  <c r="L60" i="19"/>
  <c r="M60" i="19" s="1"/>
  <c r="W59" i="19"/>
  <c r="R59" i="19" s="1"/>
  <c r="Q59" i="19" s="1"/>
  <c r="U59" i="19"/>
  <c r="N59" i="19"/>
  <c r="O59" i="19" s="1"/>
  <c r="L59" i="19"/>
  <c r="M59" i="19" s="1"/>
  <c r="W58" i="19"/>
  <c r="R58" i="19" s="1"/>
  <c r="Q58" i="19" s="1"/>
  <c r="U58" i="19"/>
  <c r="N58" i="19"/>
  <c r="O58" i="19" s="1"/>
  <c r="L58" i="19"/>
  <c r="M58" i="19" s="1"/>
  <c r="W57" i="19"/>
  <c r="R57" i="19" s="1"/>
  <c r="Q57" i="19" s="1"/>
  <c r="U57" i="19"/>
  <c r="N57" i="19"/>
  <c r="O57" i="19" s="1"/>
  <c r="L57" i="19"/>
  <c r="M57" i="19" s="1"/>
  <c r="AM56" i="19"/>
  <c r="AC56" i="19" s="1"/>
  <c r="U56" i="19"/>
  <c r="R56" i="19"/>
  <c r="Q56" i="19" s="1"/>
  <c r="N56" i="19"/>
  <c r="O56" i="19" s="1"/>
  <c r="L56" i="19"/>
  <c r="M56" i="19" s="1"/>
  <c r="W55" i="19"/>
  <c r="R55" i="19" s="1"/>
  <c r="Q55" i="19" s="1"/>
  <c r="U55" i="19"/>
  <c r="N55" i="19"/>
  <c r="O55" i="19" s="1"/>
  <c r="L55" i="19"/>
  <c r="M55" i="19" s="1"/>
  <c r="W54" i="19"/>
  <c r="R54" i="19" s="1"/>
  <c r="Q54" i="19" s="1"/>
  <c r="U54" i="19"/>
  <c r="N54" i="19"/>
  <c r="O54" i="19" s="1"/>
  <c r="L54" i="19"/>
  <c r="M54" i="19" s="1"/>
  <c r="W53" i="19"/>
  <c r="R53" i="19" s="1"/>
  <c r="Q53" i="19" s="1"/>
  <c r="U53" i="19"/>
  <c r="N53" i="19"/>
  <c r="O53" i="19" s="1"/>
  <c r="L53" i="19"/>
  <c r="M53" i="19" s="1"/>
  <c r="W52" i="19"/>
  <c r="R52" i="19" s="1"/>
  <c r="Q52" i="19" s="1"/>
  <c r="U52" i="19"/>
  <c r="N52" i="19"/>
  <c r="O52" i="19" s="1"/>
  <c r="L52" i="19"/>
  <c r="M52" i="19" s="1"/>
  <c r="W51" i="19"/>
  <c r="R51" i="19" s="1"/>
  <c r="Q51" i="19" s="1"/>
  <c r="U51" i="19"/>
  <c r="N51" i="19"/>
  <c r="O51" i="19" s="1"/>
  <c r="L51" i="19"/>
  <c r="M51" i="19" s="1"/>
  <c r="W50" i="19"/>
  <c r="R50" i="19" s="1"/>
  <c r="Q50" i="19" s="1"/>
  <c r="U50" i="19"/>
  <c r="N50" i="19"/>
  <c r="O50" i="19" s="1"/>
  <c r="L50" i="19"/>
  <c r="M50" i="19" s="1"/>
  <c r="W49" i="19"/>
  <c r="R49" i="19" s="1"/>
  <c r="Q49" i="19" s="1"/>
  <c r="U49" i="19"/>
  <c r="N49" i="19"/>
  <c r="O49" i="19" s="1"/>
  <c r="L49" i="19"/>
  <c r="M49" i="19" s="1"/>
  <c r="AC48" i="19"/>
  <c r="U48" i="19"/>
  <c r="R48" i="19"/>
  <c r="Q48" i="19" s="1"/>
  <c r="N48" i="19"/>
  <c r="O48" i="19" s="1"/>
  <c r="L48" i="19"/>
  <c r="M48" i="19" s="1"/>
  <c r="AC47" i="19"/>
  <c r="U47" i="19"/>
  <c r="R47" i="19"/>
  <c r="Q47" i="19" s="1"/>
  <c r="N47" i="19"/>
  <c r="O47" i="19" s="1"/>
  <c r="L47" i="19"/>
  <c r="M47" i="19" s="1"/>
  <c r="AC46" i="19"/>
  <c r="U46" i="19"/>
  <c r="R46" i="19"/>
  <c r="Q46" i="19" s="1"/>
  <c r="N46" i="19"/>
  <c r="O46" i="19" s="1"/>
  <c r="L46" i="19"/>
  <c r="M46" i="19" s="1"/>
  <c r="AC45" i="19"/>
  <c r="U45" i="19"/>
  <c r="R45" i="19"/>
  <c r="Q45" i="19" s="1"/>
  <c r="N45" i="19"/>
  <c r="O45" i="19" s="1"/>
  <c r="L45" i="19"/>
  <c r="M45" i="19" s="1"/>
  <c r="AC44" i="19"/>
  <c r="U44" i="19"/>
  <c r="R44" i="19"/>
  <c r="Q44" i="19" s="1"/>
  <c r="N44" i="19"/>
  <c r="O44" i="19" s="1"/>
  <c r="L44" i="19"/>
  <c r="M44" i="19" s="1"/>
  <c r="AC43" i="19"/>
  <c r="U43" i="19"/>
  <c r="R43" i="19"/>
  <c r="Q43" i="19" s="1"/>
  <c r="N43" i="19"/>
  <c r="O43" i="19" s="1"/>
  <c r="L43" i="19"/>
  <c r="M43" i="19" s="1"/>
  <c r="AC42" i="19"/>
  <c r="U42" i="19"/>
  <c r="R42" i="19"/>
  <c r="Q42" i="19" s="1"/>
  <c r="N42" i="19"/>
  <c r="O42" i="19" s="1"/>
  <c r="L42" i="19"/>
  <c r="M42" i="19" s="1"/>
  <c r="AC41" i="19"/>
  <c r="U41" i="19"/>
  <c r="R41" i="19"/>
  <c r="Q41" i="19" s="1"/>
  <c r="N41" i="19"/>
  <c r="O41" i="19" s="1"/>
  <c r="L41" i="19"/>
  <c r="M41" i="19" s="1"/>
  <c r="AC40" i="19"/>
  <c r="U40" i="19"/>
  <c r="R40" i="19"/>
  <c r="Q40" i="19" s="1"/>
  <c r="N40" i="19"/>
  <c r="O40" i="19" s="1"/>
  <c r="L40" i="19"/>
  <c r="M40" i="19" s="1"/>
  <c r="AC39" i="19"/>
  <c r="U39" i="19"/>
  <c r="R39" i="19"/>
  <c r="Q39" i="19" s="1"/>
  <c r="N39" i="19"/>
  <c r="O39" i="19" s="1"/>
  <c r="L39" i="19"/>
  <c r="M39" i="19" s="1"/>
  <c r="U38" i="19"/>
  <c r="R38" i="19"/>
  <c r="Q38" i="19" s="1"/>
  <c r="N38" i="19"/>
  <c r="O38" i="19" s="1"/>
  <c r="L38" i="19"/>
  <c r="M38" i="19" s="1"/>
  <c r="U37" i="19"/>
  <c r="R37" i="19"/>
  <c r="Q37" i="19" s="1"/>
  <c r="N37" i="19"/>
  <c r="O37" i="19" s="1"/>
  <c r="L37" i="19"/>
  <c r="M37" i="19" s="1"/>
  <c r="U36" i="19"/>
  <c r="R36" i="19"/>
  <c r="Q36" i="19" s="1"/>
  <c r="N36" i="19"/>
  <c r="O36" i="19" s="1"/>
  <c r="L36" i="19"/>
  <c r="M36" i="19" s="1"/>
  <c r="U35" i="19"/>
  <c r="R35" i="19"/>
  <c r="Q35" i="19" s="1"/>
  <c r="N35" i="19"/>
  <c r="O35" i="19" s="1"/>
  <c r="L35" i="19"/>
  <c r="M35" i="19" s="1"/>
  <c r="U34" i="19"/>
  <c r="R34" i="19"/>
  <c r="Q34" i="19" s="1"/>
  <c r="N34" i="19"/>
  <c r="O34" i="19" s="1"/>
  <c r="L34" i="19"/>
  <c r="M34" i="19" s="1"/>
  <c r="U33" i="19"/>
  <c r="R33" i="19"/>
  <c r="Q33" i="19" s="1"/>
  <c r="N33" i="19"/>
  <c r="O33" i="19" s="1"/>
  <c r="L33" i="19"/>
  <c r="M33" i="19" s="1"/>
  <c r="U32" i="19"/>
  <c r="R32" i="19"/>
  <c r="Q32" i="19" s="1"/>
  <c r="N32" i="19"/>
  <c r="O32" i="19" s="1"/>
  <c r="L32" i="19"/>
  <c r="M32" i="19" s="1"/>
  <c r="U31" i="19"/>
  <c r="R31" i="19"/>
  <c r="Q31" i="19" s="1"/>
  <c r="N31" i="19"/>
  <c r="O31" i="19" s="1"/>
  <c r="L31" i="19"/>
  <c r="M31" i="19" s="1"/>
  <c r="U30" i="19"/>
  <c r="R30" i="19"/>
  <c r="Q30" i="19" s="1"/>
  <c r="N30" i="19"/>
  <c r="O30" i="19" s="1"/>
  <c r="L30" i="19"/>
  <c r="M30" i="19" s="1"/>
  <c r="AE29" i="19"/>
  <c r="AC29" i="19" s="1"/>
  <c r="U29" i="19"/>
  <c r="R29" i="19"/>
  <c r="Q29" i="19" s="1"/>
  <c r="N29" i="19"/>
  <c r="O29" i="19" s="1"/>
  <c r="L29" i="19"/>
  <c r="M29" i="19" s="1"/>
  <c r="AE28" i="19"/>
  <c r="AC28" i="19" s="1"/>
  <c r="U28" i="19"/>
  <c r="R28" i="19"/>
  <c r="Q28" i="19" s="1"/>
  <c r="N28" i="19"/>
  <c r="O28" i="19" s="1"/>
  <c r="L28" i="19"/>
  <c r="M28" i="19" s="1"/>
  <c r="AE27" i="19"/>
  <c r="AC27" i="19" s="1"/>
  <c r="U27" i="19"/>
  <c r="R27" i="19"/>
  <c r="Q27" i="19" s="1"/>
  <c r="N27" i="19"/>
  <c r="O27" i="19" s="1"/>
  <c r="L27" i="19"/>
  <c r="M27" i="19" s="1"/>
  <c r="AE26" i="19"/>
  <c r="AC26" i="19" s="1"/>
  <c r="U26" i="19"/>
  <c r="R26" i="19"/>
  <c r="Q26" i="19" s="1"/>
  <c r="N26" i="19"/>
  <c r="O26" i="19" s="1"/>
  <c r="L26" i="19"/>
  <c r="M26" i="19" s="1"/>
  <c r="AE25" i="19"/>
  <c r="AC25" i="19" s="1"/>
  <c r="U25" i="19"/>
  <c r="R25" i="19"/>
  <c r="Q25" i="19" s="1"/>
  <c r="N25" i="19"/>
  <c r="O25" i="19" s="1"/>
  <c r="L25" i="19"/>
  <c r="M25" i="19" s="1"/>
  <c r="AE24" i="19"/>
  <c r="AC24" i="19" s="1"/>
  <c r="U24" i="19"/>
  <c r="R24" i="19"/>
  <c r="Q24" i="19" s="1"/>
  <c r="N24" i="19"/>
  <c r="O24" i="19" s="1"/>
  <c r="L24" i="19"/>
  <c r="M24" i="19" s="1"/>
  <c r="AE23" i="19"/>
  <c r="AC23" i="19" s="1"/>
  <c r="U23" i="19"/>
  <c r="R23" i="19"/>
  <c r="Q23" i="19" s="1"/>
  <c r="N23" i="19"/>
  <c r="O23" i="19" s="1"/>
  <c r="L23" i="19"/>
  <c r="M23" i="19" s="1"/>
  <c r="AE22" i="19"/>
  <c r="AC22" i="19" s="1"/>
  <c r="U22" i="19"/>
  <c r="R22" i="19"/>
  <c r="Q22" i="19" s="1"/>
  <c r="N22" i="19"/>
  <c r="O22" i="19" s="1"/>
  <c r="L22" i="19"/>
  <c r="M22" i="19" s="1"/>
  <c r="AE21" i="19"/>
  <c r="AC21" i="19" s="1"/>
  <c r="U21" i="19"/>
  <c r="R21" i="19"/>
  <c r="Q21" i="19" s="1"/>
  <c r="N21" i="19"/>
  <c r="O21" i="19" s="1"/>
  <c r="L21" i="19"/>
  <c r="M21" i="19" s="1"/>
  <c r="AE20" i="19"/>
  <c r="AC20" i="19" s="1"/>
  <c r="U20" i="19"/>
  <c r="R20" i="19"/>
  <c r="Q20" i="19" s="1"/>
  <c r="N20" i="19"/>
  <c r="O20" i="19" s="1"/>
  <c r="L20" i="19"/>
  <c r="M20" i="19" s="1"/>
  <c r="AE19" i="19"/>
  <c r="AC19" i="19" s="1"/>
  <c r="U19" i="19"/>
  <c r="R19" i="19"/>
  <c r="Q19" i="19" s="1"/>
  <c r="N19" i="19"/>
  <c r="O19" i="19" s="1"/>
  <c r="L19" i="19"/>
  <c r="M19" i="19" s="1"/>
  <c r="AQ18" i="19"/>
  <c r="AC18" i="19" s="1"/>
  <c r="U18" i="19"/>
  <c r="R18" i="19"/>
  <c r="Q18" i="19" s="1"/>
  <c r="N18" i="19"/>
  <c r="O18" i="19" s="1"/>
  <c r="L18" i="19"/>
  <c r="M18" i="19" s="1"/>
  <c r="AQ17" i="19"/>
  <c r="AC17" i="19" s="1"/>
  <c r="U17" i="19"/>
  <c r="R17" i="19"/>
  <c r="Q17" i="19" s="1"/>
  <c r="N17" i="19"/>
  <c r="O17" i="19" s="1"/>
  <c r="L17" i="19"/>
  <c r="M17" i="19" s="1"/>
  <c r="AF16" i="19"/>
  <c r="AC16" i="19" s="1"/>
  <c r="X16" i="19"/>
  <c r="R16" i="19" s="1"/>
  <c r="Q16" i="19" s="1"/>
  <c r="U16" i="19"/>
  <c r="N16" i="19"/>
  <c r="O16" i="19" s="1"/>
  <c r="L16" i="19"/>
  <c r="M16" i="19" s="1"/>
  <c r="AF15" i="19"/>
  <c r="AC15" i="19" s="1"/>
  <c r="X15" i="19"/>
  <c r="R15" i="19" s="1"/>
  <c r="Q15" i="19" s="1"/>
  <c r="U15" i="19"/>
  <c r="N15" i="19"/>
  <c r="O15" i="19" s="1"/>
  <c r="L15" i="19"/>
  <c r="M15" i="19" s="1"/>
  <c r="U14" i="19"/>
  <c r="R14" i="19"/>
  <c r="Q14" i="19" s="1"/>
  <c r="N14" i="19"/>
  <c r="O14" i="19" s="1"/>
  <c r="L14" i="19"/>
  <c r="M14" i="19" s="1"/>
  <c r="U13" i="19"/>
  <c r="R13" i="19"/>
  <c r="Q13" i="19" s="1"/>
  <c r="N13" i="19"/>
  <c r="O13" i="19" s="1"/>
  <c r="L13" i="19"/>
  <c r="M13" i="19" s="1"/>
  <c r="AQ12" i="19"/>
  <c r="AC12" i="19" s="1"/>
  <c r="U12" i="19"/>
  <c r="R12" i="19"/>
  <c r="Q12" i="19" s="1"/>
  <c r="N12" i="19"/>
  <c r="O12" i="19" s="1"/>
  <c r="L12" i="19"/>
  <c r="M12" i="19" s="1"/>
  <c r="T11" i="19"/>
  <c r="S11" i="19"/>
  <c r="N11" i="19"/>
  <c r="O11" i="19" s="1"/>
  <c r="L11" i="19"/>
  <c r="M11" i="19" s="1"/>
  <c r="T10" i="19"/>
  <c r="U10" i="19" s="1"/>
  <c r="S10" i="19"/>
  <c r="N10" i="19"/>
  <c r="O10" i="19" s="1"/>
  <c r="L10" i="19"/>
  <c r="M10" i="19" s="1"/>
  <c r="T9" i="19"/>
  <c r="U9" i="19" s="1"/>
  <c r="S9" i="19"/>
  <c r="N9" i="19"/>
  <c r="O9" i="19" s="1"/>
  <c r="L9" i="19"/>
  <c r="M9" i="19" s="1"/>
  <c r="U8" i="19"/>
  <c r="R8" i="19"/>
  <c r="Q8" i="19" s="1"/>
  <c r="N8" i="19"/>
  <c r="O8" i="19" s="1"/>
  <c r="L8" i="19"/>
  <c r="M8" i="19" s="1"/>
  <c r="U7" i="19"/>
  <c r="R7" i="19"/>
  <c r="Q7" i="19" s="1"/>
  <c r="N7" i="19"/>
  <c r="O7" i="19" s="1"/>
  <c r="L7" i="19"/>
  <c r="M7" i="19" s="1"/>
  <c r="U6" i="19"/>
  <c r="R6" i="19"/>
  <c r="Q6" i="19" s="1"/>
  <c r="N6" i="19"/>
  <c r="O6" i="19" s="1"/>
  <c r="L6" i="19"/>
  <c r="M6" i="19" s="1"/>
  <c r="U5" i="19"/>
  <c r="R5" i="19"/>
  <c r="Q5" i="19" s="1"/>
  <c r="N5" i="19"/>
  <c r="O5" i="19" s="1"/>
  <c r="L5" i="19"/>
  <c r="M5" i="19" s="1"/>
  <c r="AR149" i="18"/>
  <c r="AR150" i="18"/>
  <c r="AR151" i="18"/>
  <c r="AR148" i="18"/>
  <c r="AF149" i="18"/>
  <c r="AF150" i="18"/>
  <c r="AF151" i="18"/>
  <c r="AF148" i="18"/>
  <c r="AQ128" i="18"/>
  <c r="R110" i="19" l="1"/>
  <c r="Q110" i="19" s="1"/>
  <c r="R11" i="19"/>
  <c r="Q11" i="19" s="1"/>
  <c r="AC150" i="19"/>
  <c r="R71" i="19"/>
  <c r="Q71" i="19" s="1"/>
  <c r="R117" i="19"/>
  <c r="Q117" i="19" s="1"/>
  <c r="R166" i="19"/>
  <c r="Q166" i="19" s="1"/>
  <c r="R108" i="19"/>
  <c r="Q108" i="19" s="1"/>
  <c r="R93" i="19"/>
  <c r="Q93" i="19" s="1"/>
  <c r="R95" i="19"/>
  <c r="Q95" i="19" s="1"/>
  <c r="AC148" i="19"/>
  <c r="R10" i="19"/>
  <c r="Q10" i="19" s="1"/>
  <c r="R83" i="19"/>
  <c r="Q83" i="19" s="1"/>
  <c r="R84" i="19"/>
  <c r="Q84" i="19" s="1"/>
  <c r="R118" i="19"/>
  <c r="Q118" i="19" s="1"/>
  <c r="AC129" i="19"/>
  <c r="R130" i="19"/>
  <c r="Q130" i="19" s="1"/>
  <c r="R114" i="19"/>
  <c r="Q114" i="19" s="1"/>
  <c r="R116" i="19"/>
  <c r="Q116" i="19" s="1"/>
  <c r="AC124" i="19"/>
  <c r="AC151" i="19"/>
  <c r="U11" i="19"/>
  <c r="R174" i="19"/>
  <c r="Q174" i="19" s="1"/>
  <c r="R164" i="19"/>
  <c r="Q164" i="19" s="1"/>
  <c r="R9" i="19"/>
  <c r="Q9" i="19" s="1"/>
  <c r="R115" i="19"/>
  <c r="Q115" i="19" s="1"/>
  <c r="AC122" i="19"/>
  <c r="AC123" i="19"/>
  <c r="AC149" i="19"/>
  <c r="R157" i="19"/>
  <c r="Q157" i="19" s="1"/>
  <c r="U157" i="19"/>
  <c r="AM124" i="18" l="1"/>
  <c r="AL124" i="18"/>
  <c r="AM123" i="18"/>
  <c r="AL123" i="18"/>
  <c r="AM122" i="18"/>
  <c r="AL122" i="18"/>
  <c r="AC70" i="18"/>
  <c r="AE20" i="18" l="1"/>
  <c r="AE21" i="18"/>
  <c r="AE22" i="18"/>
  <c r="AE23" i="18"/>
  <c r="AE24" i="18"/>
  <c r="AE25" i="18"/>
  <c r="AE26" i="18"/>
  <c r="AE27" i="18"/>
  <c r="AE28" i="18"/>
  <c r="AE29" i="18"/>
  <c r="AE19" i="18"/>
  <c r="AF16" i="18"/>
  <c r="AF15" i="18"/>
  <c r="AR129" i="18"/>
  <c r="AL129" i="18"/>
  <c r="AK129" i="18"/>
  <c r="AC129" i="18" l="1"/>
  <c r="AM56" i="18"/>
  <c r="AC56" i="18" s="1"/>
  <c r="AL137" i="18"/>
  <c r="AC137" i="18" s="1"/>
  <c r="AC159" i="18"/>
  <c r="AC150" i="18"/>
  <c r="AC149" i="18"/>
  <c r="AC148" i="18"/>
  <c r="AC139" i="18"/>
  <c r="AC138" i="18"/>
  <c r="AC131" i="18"/>
  <c r="AC130" i="18"/>
  <c r="AC128" i="18"/>
  <c r="AC124" i="18"/>
  <c r="AC123" i="18"/>
  <c r="AC122" i="18"/>
  <c r="AC118" i="18"/>
  <c r="AC117" i="18"/>
  <c r="AC116" i="18"/>
  <c r="AC115" i="18"/>
  <c r="AC114" i="18"/>
  <c r="AC112" i="18"/>
  <c r="AC108" i="18"/>
  <c r="AC97" i="18"/>
  <c r="AC66" i="18"/>
  <c r="AC65" i="18"/>
  <c r="AC64" i="18"/>
  <c r="AC63" i="18"/>
  <c r="AC62" i="18"/>
  <c r="AC48" i="18"/>
  <c r="AC47" i="18"/>
  <c r="AC46" i="18"/>
  <c r="AC45" i="18"/>
  <c r="AC44" i="18"/>
  <c r="AC43" i="18"/>
  <c r="AC42" i="18"/>
  <c r="AC41" i="18"/>
  <c r="AC40" i="18"/>
  <c r="AC39" i="18"/>
  <c r="AC29" i="18"/>
  <c r="AC28" i="18"/>
  <c r="AC27" i="18"/>
  <c r="AC26" i="18"/>
  <c r="AC25" i="18"/>
  <c r="AC24" i="18"/>
  <c r="AC23" i="18"/>
  <c r="AC22" i="18"/>
  <c r="AC21" i="18"/>
  <c r="AC20" i="18"/>
  <c r="AC19" i="18"/>
  <c r="AC16" i="18"/>
  <c r="AC15" i="18"/>
  <c r="AL110" i="18" l="1"/>
  <c r="AC110" i="18" s="1"/>
  <c r="R199" i="18"/>
  <c r="Q199" i="18" s="1"/>
  <c r="U198" i="18"/>
  <c r="R198" i="18"/>
  <c r="Q198" i="18" s="1"/>
  <c r="N198" i="18"/>
  <c r="O198" i="18" s="1"/>
  <c r="L198" i="18"/>
  <c r="M198" i="18" s="1"/>
  <c r="U197" i="18"/>
  <c r="R197" i="18"/>
  <c r="Q197" i="18" s="1"/>
  <c r="N197" i="18"/>
  <c r="O197" i="18" s="1"/>
  <c r="L197" i="18"/>
  <c r="M197" i="18" s="1"/>
  <c r="U196" i="18"/>
  <c r="R196" i="18"/>
  <c r="Q196" i="18" s="1"/>
  <c r="N196" i="18"/>
  <c r="O196" i="18" s="1"/>
  <c r="L196" i="18"/>
  <c r="M196" i="18" s="1"/>
  <c r="U195" i="18"/>
  <c r="R195" i="18"/>
  <c r="Q195" i="18" s="1"/>
  <c r="N195" i="18"/>
  <c r="O195" i="18" s="1"/>
  <c r="L195" i="18"/>
  <c r="M195" i="18" s="1"/>
  <c r="U194" i="18"/>
  <c r="R194" i="18"/>
  <c r="Q194" i="18" s="1"/>
  <c r="N194" i="18"/>
  <c r="O194" i="18" s="1"/>
  <c r="L194" i="18"/>
  <c r="M194" i="18" s="1"/>
  <c r="U193" i="18"/>
  <c r="R193" i="18"/>
  <c r="N193" i="18"/>
  <c r="O193" i="18" s="1"/>
  <c r="L193" i="18"/>
  <c r="M193" i="18" s="1"/>
  <c r="U192" i="18"/>
  <c r="R192" i="18"/>
  <c r="N192" i="18"/>
  <c r="O192" i="18" s="1"/>
  <c r="L192" i="18"/>
  <c r="M192" i="18" s="1"/>
  <c r="U191" i="18"/>
  <c r="R191" i="18"/>
  <c r="N191" i="18"/>
  <c r="O191" i="18" s="1"/>
  <c r="L191" i="18"/>
  <c r="M191" i="18" s="1"/>
  <c r="U190" i="18"/>
  <c r="R190" i="18"/>
  <c r="N190" i="18"/>
  <c r="O190" i="18" s="1"/>
  <c r="L190" i="18"/>
  <c r="M190" i="18" s="1"/>
  <c r="U189" i="18"/>
  <c r="R189" i="18"/>
  <c r="N189" i="18"/>
  <c r="O189" i="18" s="1"/>
  <c r="L189" i="18"/>
  <c r="M189" i="18" s="1"/>
  <c r="U188" i="18"/>
  <c r="R188" i="18"/>
  <c r="Q188" i="18" s="1"/>
  <c r="N188" i="18"/>
  <c r="O188" i="18" s="1"/>
  <c r="L188" i="18"/>
  <c r="M188" i="18" s="1"/>
  <c r="U187" i="18"/>
  <c r="R187" i="18"/>
  <c r="Q187" i="18" s="1"/>
  <c r="N187" i="18"/>
  <c r="O187" i="18" s="1"/>
  <c r="L187" i="18"/>
  <c r="M187" i="18" s="1"/>
  <c r="U186" i="18"/>
  <c r="R186" i="18"/>
  <c r="Q186" i="18" s="1"/>
  <c r="N186" i="18"/>
  <c r="O186" i="18" s="1"/>
  <c r="L186" i="18"/>
  <c r="M186" i="18" s="1"/>
  <c r="U185" i="18"/>
  <c r="R185" i="18"/>
  <c r="Q185" i="18" s="1"/>
  <c r="N185" i="18"/>
  <c r="O185" i="18" s="1"/>
  <c r="L185" i="18"/>
  <c r="M185" i="18" s="1"/>
  <c r="U184" i="18"/>
  <c r="R184" i="18"/>
  <c r="Q184" i="18" s="1"/>
  <c r="N184" i="18"/>
  <c r="O184" i="18" s="1"/>
  <c r="L184" i="18"/>
  <c r="M184" i="18" s="1"/>
  <c r="V183" i="18"/>
  <c r="R183" i="18" s="1"/>
  <c r="Q183" i="18" s="1"/>
  <c r="U183" i="18"/>
  <c r="N183" i="18"/>
  <c r="O183" i="18" s="1"/>
  <c r="L183" i="18"/>
  <c r="M183" i="18" s="1"/>
  <c r="V182" i="18"/>
  <c r="R182" i="18" s="1"/>
  <c r="Q182" i="18" s="1"/>
  <c r="U182" i="18"/>
  <c r="N182" i="18"/>
  <c r="O182" i="18" s="1"/>
  <c r="L182" i="18"/>
  <c r="M182" i="18" s="1"/>
  <c r="V181" i="18"/>
  <c r="R181" i="18" s="1"/>
  <c r="Q181" i="18" s="1"/>
  <c r="U181" i="18"/>
  <c r="N181" i="18"/>
  <c r="O181" i="18" s="1"/>
  <c r="L181" i="18"/>
  <c r="M181" i="18" s="1"/>
  <c r="V180" i="18"/>
  <c r="R180" i="18" s="1"/>
  <c r="Q180" i="18" s="1"/>
  <c r="U180" i="18"/>
  <c r="N180" i="18"/>
  <c r="O180" i="18" s="1"/>
  <c r="L180" i="18"/>
  <c r="M180" i="18" s="1"/>
  <c r="V179" i="18"/>
  <c r="R179" i="18" s="1"/>
  <c r="Q179" i="18" s="1"/>
  <c r="U179" i="18"/>
  <c r="N179" i="18"/>
  <c r="O179" i="18" s="1"/>
  <c r="L179" i="18"/>
  <c r="M179" i="18" s="1"/>
  <c r="V178" i="18"/>
  <c r="R178" i="18" s="1"/>
  <c r="Q178" i="18" s="1"/>
  <c r="U178" i="18"/>
  <c r="N178" i="18"/>
  <c r="O178" i="18" s="1"/>
  <c r="L178" i="18"/>
  <c r="M178" i="18" s="1"/>
  <c r="V177" i="18"/>
  <c r="R177" i="18" s="1"/>
  <c r="Q177" i="18" s="1"/>
  <c r="U177" i="18"/>
  <c r="N177" i="18"/>
  <c r="O177" i="18" s="1"/>
  <c r="L177" i="18"/>
  <c r="M177" i="18" s="1"/>
  <c r="T174" i="18"/>
  <c r="U174" i="18" s="1"/>
  <c r="R173" i="18"/>
  <c r="Q173" i="18" s="1"/>
  <c r="R172" i="18"/>
  <c r="Q172" i="18" s="1"/>
  <c r="V171" i="18"/>
  <c r="R171" i="18" s="1"/>
  <c r="Q171" i="18" s="1"/>
  <c r="U171" i="18"/>
  <c r="W170" i="18"/>
  <c r="R170" i="18" s="1"/>
  <c r="Q170" i="18" s="1"/>
  <c r="U170" i="18"/>
  <c r="X169" i="18"/>
  <c r="R169" i="18" s="1"/>
  <c r="Q169" i="18" s="1"/>
  <c r="U169" i="18"/>
  <c r="X168" i="18"/>
  <c r="R168" i="18" s="1"/>
  <c r="Q168" i="18" s="1"/>
  <c r="U168" i="18"/>
  <c r="U167" i="18"/>
  <c r="R167" i="18"/>
  <c r="Q167" i="18" s="1"/>
  <c r="M167" i="18"/>
  <c r="W166" i="18"/>
  <c r="S166" i="18"/>
  <c r="O166" i="18"/>
  <c r="X165" i="18"/>
  <c r="R165" i="18" s="1"/>
  <c r="Q165" i="18" s="1"/>
  <c r="O165" i="18"/>
  <c r="X164" i="18"/>
  <c r="V164" i="18"/>
  <c r="O164" i="18"/>
  <c r="R161" i="18"/>
  <c r="Q161" i="18" s="1"/>
  <c r="N161" i="18"/>
  <c r="O161" i="18" s="1"/>
  <c r="L161" i="18"/>
  <c r="M161" i="18" s="1"/>
  <c r="AQ160" i="18"/>
  <c r="AC160" i="18" s="1"/>
  <c r="U160" i="18"/>
  <c r="R160" i="18"/>
  <c r="N160" i="18"/>
  <c r="O160" i="18" s="1"/>
  <c r="L160" i="18"/>
  <c r="M160" i="18" s="1"/>
  <c r="U159" i="18"/>
  <c r="R159" i="18"/>
  <c r="Q159" i="18" s="1"/>
  <c r="N159" i="18"/>
  <c r="O159" i="18" s="1"/>
  <c r="L159" i="18"/>
  <c r="M159" i="18" s="1"/>
  <c r="R158" i="18"/>
  <c r="Q158" i="18" s="1"/>
  <c r="N158" i="18"/>
  <c r="O158" i="18" s="1"/>
  <c r="L158" i="18"/>
  <c r="M158" i="18" s="1"/>
  <c r="AQ157" i="18"/>
  <c r="AC157" i="18" s="1"/>
  <c r="T157" i="18"/>
  <c r="N157" i="18"/>
  <c r="O157" i="18" s="1"/>
  <c r="L157" i="18"/>
  <c r="M157" i="18" s="1"/>
  <c r="U156" i="18"/>
  <c r="R156" i="18"/>
  <c r="Q156" i="18" s="1"/>
  <c r="N156" i="18"/>
  <c r="O156" i="18" s="1"/>
  <c r="L156" i="18"/>
  <c r="M156" i="18" s="1"/>
  <c r="U155" i="18"/>
  <c r="R155" i="18"/>
  <c r="Q155" i="18" s="1"/>
  <c r="N155" i="18"/>
  <c r="O155" i="18" s="1"/>
  <c r="L155" i="18"/>
  <c r="M155" i="18" s="1"/>
  <c r="U154" i="18"/>
  <c r="R154" i="18"/>
  <c r="Q154" i="18" s="1"/>
  <c r="N154" i="18"/>
  <c r="O154" i="18" s="1"/>
  <c r="L154" i="18"/>
  <c r="M154" i="18" s="1"/>
  <c r="AQ153" i="18"/>
  <c r="AC153" i="18" s="1"/>
  <c r="U153" i="18"/>
  <c r="R153" i="18"/>
  <c r="Q153" i="18" s="1"/>
  <c r="N153" i="18"/>
  <c r="O153" i="18" s="1"/>
  <c r="L153" i="18"/>
  <c r="M153" i="18" s="1"/>
  <c r="AQ152" i="18"/>
  <c r="AC152" i="18" s="1"/>
  <c r="U152" i="18"/>
  <c r="R152" i="18"/>
  <c r="Q152" i="18" s="1"/>
  <c r="N152" i="18"/>
  <c r="O152" i="18" s="1"/>
  <c r="L152" i="18"/>
  <c r="M152" i="18" s="1"/>
  <c r="AQ151" i="18"/>
  <c r="AC151" i="18" s="1"/>
  <c r="W151" i="18"/>
  <c r="R151" i="18" s="1"/>
  <c r="U151" i="18"/>
  <c r="N151" i="18"/>
  <c r="O151" i="18" s="1"/>
  <c r="L151" i="18"/>
  <c r="M151" i="18" s="1"/>
  <c r="U150" i="18"/>
  <c r="R150" i="18"/>
  <c r="Q150" i="18" s="1"/>
  <c r="N150" i="18"/>
  <c r="O150" i="18" s="1"/>
  <c r="L150" i="18"/>
  <c r="M150" i="18" s="1"/>
  <c r="U149" i="18"/>
  <c r="R149" i="18"/>
  <c r="Q149" i="18" s="1"/>
  <c r="N149" i="18"/>
  <c r="O149" i="18" s="1"/>
  <c r="L149" i="18"/>
  <c r="M149" i="18" s="1"/>
  <c r="V148" i="18"/>
  <c r="U148" i="18"/>
  <c r="N148" i="18"/>
  <c r="O148" i="18" s="1"/>
  <c r="L148" i="18"/>
  <c r="M148" i="18" s="1"/>
  <c r="AQ147" i="18"/>
  <c r="AC147" i="18" s="1"/>
  <c r="U147" i="18"/>
  <c r="R147" i="18"/>
  <c r="Q147" i="18" s="1"/>
  <c r="N147" i="18"/>
  <c r="O147" i="18" s="1"/>
  <c r="L147" i="18"/>
  <c r="M147" i="18" s="1"/>
  <c r="W146" i="18"/>
  <c r="R146" i="18" s="1"/>
  <c r="Q146" i="18" s="1"/>
  <c r="U146" i="18"/>
  <c r="N146" i="18"/>
  <c r="O146" i="18" s="1"/>
  <c r="L146" i="18"/>
  <c r="M146" i="18" s="1"/>
  <c r="U145" i="18"/>
  <c r="R145" i="18"/>
  <c r="Q145" i="18" s="1"/>
  <c r="N145" i="18"/>
  <c r="O145" i="18" s="1"/>
  <c r="L145" i="18"/>
  <c r="M145" i="18" s="1"/>
  <c r="X144" i="18"/>
  <c r="R144" i="18" s="1"/>
  <c r="Q144" i="18" s="1"/>
  <c r="U144" i="18"/>
  <c r="N144" i="18"/>
  <c r="O144" i="18" s="1"/>
  <c r="L144" i="18"/>
  <c r="M144" i="18" s="1"/>
  <c r="R143" i="18"/>
  <c r="Q143" i="18" s="1"/>
  <c r="N143" i="18"/>
  <c r="O143" i="18" s="1"/>
  <c r="L143" i="18"/>
  <c r="M143" i="18" s="1"/>
  <c r="W142" i="18"/>
  <c r="R142" i="18" s="1"/>
  <c r="Q142" i="18" s="1"/>
  <c r="N142" i="18"/>
  <c r="O142" i="18" s="1"/>
  <c r="L142" i="18"/>
  <c r="M142" i="18" s="1"/>
  <c r="AQ141" i="18"/>
  <c r="AC141" i="18" s="1"/>
  <c r="U141" i="18"/>
  <c r="R141" i="18"/>
  <c r="Q141" i="18" s="1"/>
  <c r="N141" i="18"/>
  <c r="O141" i="18" s="1"/>
  <c r="L141" i="18"/>
  <c r="M141" i="18" s="1"/>
  <c r="AQ140" i="18"/>
  <c r="AC140" i="18" s="1"/>
  <c r="U140" i="18"/>
  <c r="R140" i="18"/>
  <c r="Q140" i="18" s="1"/>
  <c r="N140" i="18"/>
  <c r="O140" i="18" s="1"/>
  <c r="L140" i="18"/>
  <c r="M140" i="18" s="1"/>
  <c r="U139" i="18"/>
  <c r="R139" i="18"/>
  <c r="Q139" i="18" s="1"/>
  <c r="N139" i="18"/>
  <c r="O139" i="18" s="1"/>
  <c r="L139" i="18"/>
  <c r="M139" i="18" s="1"/>
  <c r="U138" i="18"/>
  <c r="R138" i="18"/>
  <c r="Q138" i="18" s="1"/>
  <c r="N138" i="18"/>
  <c r="O138" i="18" s="1"/>
  <c r="L138" i="18"/>
  <c r="M138" i="18" s="1"/>
  <c r="U137" i="18"/>
  <c r="R137" i="18"/>
  <c r="Q137" i="18" s="1"/>
  <c r="N137" i="18"/>
  <c r="O137" i="18" s="1"/>
  <c r="L137" i="18"/>
  <c r="M137" i="18" s="1"/>
  <c r="U136" i="18"/>
  <c r="R136" i="18"/>
  <c r="Q136" i="18" s="1"/>
  <c r="N136" i="18"/>
  <c r="O136" i="18" s="1"/>
  <c r="L136" i="18"/>
  <c r="M136" i="18" s="1"/>
  <c r="U135" i="18"/>
  <c r="R135" i="18"/>
  <c r="Q135" i="18" s="1"/>
  <c r="N135" i="18"/>
  <c r="O135" i="18" s="1"/>
  <c r="L135" i="18"/>
  <c r="M135" i="18" s="1"/>
  <c r="U134" i="18"/>
  <c r="R134" i="18"/>
  <c r="Q134" i="18" s="1"/>
  <c r="N134" i="18"/>
  <c r="O134" i="18" s="1"/>
  <c r="L134" i="18"/>
  <c r="M134" i="18" s="1"/>
  <c r="U133" i="18"/>
  <c r="R133" i="18"/>
  <c r="Q133" i="18" s="1"/>
  <c r="N133" i="18"/>
  <c r="O133" i="18" s="1"/>
  <c r="L133" i="18"/>
  <c r="M133" i="18" s="1"/>
  <c r="U132" i="18"/>
  <c r="R132" i="18"/>
  <c r="Q132" i="18" s="1"/>
  <c r="N132" i="18"/>
  <c r="O132" i="18" s="1"/>
  <c r="L132" i="18"/>
  <c r="M132" i="18" s="1"/>
  <c r="U131" i="18"/>
  <c r="R131" i="18"/>
  <c r="N131" i="18"/>
  <c r="O131" i="18" s="1"/>
  <c r="L131" i="18"/>
  <c r="M131" i="18" s="1"/>
  <c r="X130" i="18"/>
  <c r="V130" i="18"/>
  <c r="U130" i="18"/>
  <c r="N130" i="18"/>
  <c r="O130" i="18" s="1"/>
  <c r="L130" i="18"/>
  <c r="M130" i="18" s="1"/>
  <c r="U129" i="18"/>
  <c r="R129" i="18"/>
  <c r="N129" i="18"/>
  <c r="O129" i="18" s="1"/>
  <c r="L129" i="18"/>
  <c r="M129" i="18" s="1"/>
  <c r="U128" i="18"/>
  <c r="R128" i="18"/>
  <c r="Q128" i="18" s="1"/>
  <c r="N128" i="18"/>
  <c r="O128" i="18" s="1"/>
  <c r="L128" i="18"/>
  <c r="M128" i="18" s="1"/>
  <c r="U127" i="18"/>
  <c r="R127" i="18"/>
  <c r="Q127" i="18" s="1"/>
  <c r="N127" i="18"/>
  <c r="O127" i="18" s="1"/>
  <c r="L127" i="18"/>
  <c r="M127" i="18" s="1"/>
  <c r="U126" i="18"/>
  <c r="R126" i="18"/>
  <c r="Q126" i="18" s="1"/>
  <c r="N126" i="18"/>
  <c r="O126" i="18" s="1"/>
  <c r="L126" i="18"/>
  <c r="M126" i="18" s="1"/>
  <c r="U125" i="18"/>
  <c r="R125" i="18"/>
  <c r="Q125" i="18" s="1"/>
  <c r="N125" i="18"/>
  <c r="O125" i="18" s="1"/>
  <c r="L125" i="18"/>
  <c r="M125" i="18" s="1"/>
  <c r="U124" i="18"/>
  <c r="R124" i="18"/>
  <c r="Q124" i="18" s="1"/>
  <c r="N124" i="18"/>
  <c r="O124" i="18" s="1"/>
  <c r="L124" i="18"/>
  <c r="M124" i="18" s="1"/>
  <c r="U123" i="18"/>
  <c r="R123" i="18"/>
  <c r="Q123" i="18" s="1"/>
  <c r="N123" i="18"/>
  <c r="O123" i="18" s="1"/>
  <c r="L123" i="18"/>
  <c r="M123" i="18" s="1"/>
  <c r="U122" i="18"/>
  <c r="R122" i="18"/>
  <c r="Q122" i="18" s="1"/>
  <c r="N122" i="18"/>
  <c r="O122" i="18" s="1"/>
  <c r="L122" i="18"/>
  <c r="M122" i="18" s="1"/>
  <c r="AQ121" i="18"/>
  <c r="AC121" i="18" s="1"/>
  <c r="U121" i="18"/>
  <c r="R121" i="18"/>
  <c r="Q121" i="18" s="1"/>
  <c r="N121" i="18"/>
  <c r="O121" i="18" s="1"/>
  <c r="L121" i="18"/>
  <c r="M121" i="18" s="1"/>
  <c r="AQ120" i="18"/>
  <c r="AC120" i="18" s="1"/>
  <c r="U120" i="18"/>
  <c r="R120" i="18"/>
  <c r="Q120" i="18" s="1"/>
  <c r="N120" i="18"/>
  <c r="O120" i="18" s="1"/>
  <c r="L120" i="18"/>
  <c r="M120" i="18" s="1"/>
  <c r="AQ119" i="18"/>
  <c r="AC119" i="18" s="1"/>
  <c r="U119" i="18"/>
  <c r="R119" i="18"/>
  <c r="Q119" i="18" s="1"/>
  <c r="N119" i="18"/>
  <c r="O119" i="18" s="1"/>
  <c r="L119" i="18"/>
  <c r="M119" i="18" s="1"/>
  <c r="X118" i="18"/>
  <c r="V118" i="18"/>
  <c r="U118" i="18"/>
  <c r="N118" i="18"/>
  <c r="O118" i="18" s="1"/>
  <c r="L118" i="18"/>
  <c r="M118" i="18" s="1"/>
  <c r="X117" i="18"/>
  <c r="V117" i="18"/>
  <c r="R117" i="18" s="1"/>
  <c r="U117" i="18"/>
  <c r="N117" i="18"/>
  <c r="O117" i="18" s="1"/>
  <c r="L117" i="18"/>
  <c r="M117" i="18" s="1"/>
  <c r="X116" i="18"/>
  <c r="V116" i="18"/>
  <c r="U116" i="18"/>
  <c r="N116" i="18"/>
  <c r="O116" i="18" s="1"/>
  <c r="L116" i="18"/>
  <c r="M116" i="18" s="1"/>
  <c r="X115" i="18"/>
  <c r="V115" i="18"/>
  <c r="U115" i="18"/>
  <c r="N115" i="18"/>
  <c r="O115" i="18" s="1"/>
  <c r="L115" i="18"/>
  <c r="M115" i="18" s="1"/>
  <c r="X114" i="18"/>
  <c r="V114" i="18"/>
  <c r="U114" i="18"/>
  <c r="N114" i="18"/>
  <c r="O114" i="18" s="1"/>
  <c r="L114" i="18"/>
  <c r="M114" i="18" s="1"/>
  <c r="AQ113" i="18"/>
  <c r="AC113" i="18" s="1"/>
  <c r="R113" i="18"/>
  <c r="Q113" i="18" s="1"/>
  <c r="N113" i="18"/>
  <c r="O113" i="18" s="1"/>
  <c r="L113" i="18"/>
  <c r="M113" i="18" s="1"/>
  <c r="V112" i="18"/>
  <c r="U112" i="18"/>
  <c r="N112" i="18"/>
  <c r="O112" i="18" s="1"/>
  <c r="L112" i="18"/>
  <c r="M112" i="18" s="1"/>
  <c r="U111" i="18"/>
  <c r="R111" i="18"/>
  <c r="Q111" i="18" s="1"/>
  <c r="N111" i="18"/>
  <c r="O111" i="18" s="1"/>
  <c r="L111" i="18"/>
  <c r="M111" i="18" s="1"/>
  <c r="T110" i="18"/>
  <c r="S110" i="18"/>
  <c r="N110" i="18"/>
  <c r="O110" i="18" s="1"/>
  <c r="L110" i="18"/>
  <c r="M110" i="18" s="1"/>
  <c r="U109" i="18"/>
  <c r="R109" i="18"/>
  <c r="Q109" i="18" s="1"/>
  <c r="N109" i="18"/>
  <c r="O109" i="18" s="1"/>
  <c r="L109" i="18"/>
  <c r="M109" i="18" s="1"/>
  <c r="X108" i="18"/>
  <c r="V108" i="18"/>
  <c r="U108" i="18"/>
  <c r="N108" i="18"/>
  <c r="O108" i="18" s="1"/>
  <c r="L108" i="18"/>
  <c r="M108" i="18" s="1"/>
  <c r="U107" i="18"/>
  <c r="R107" i="18"/>
  <c r="Q107" i="18" s="1"/>
  <c r="N107" i="18"/>
  <c r="O107" i="18" s="1"/>
  <c r="L107" i="18"/>
  <c r="M107" i="18" s="1"/>
  <c r="U106" i="18"/>
  <c r="R106" i="18"/>
  <c r="Q106" i="18" s="1"/>
  <c r="N106" i="18"/>
  <c r="O106" i="18" s="1"/>
  <c r="L106" i="18"/>
  <c r="M106" i="18" s="1"/>
  <c r="U105" i="18"/>
  <c r="R105" i="18"/>
  <c r="Q105" i="18" s="1"/>
  <c r="N105" i="18"/>
  <c r="O105" i="18" s="1"/>
  <c r="L105" i="18"/>
  <c r="M105" i="18" s="1"/>
  <c r="V104" i="18"/>
  <c r="R104" i="18" s="1"/>
  <c r="Q104" i="18" s="1"/>
  <c r="U104" i="18"/>
  <c r="N104" i="18"/>
  <c r="O104" i="18" s="1"/>
  <c r="L104" i="18"/>
  <c r="M104" i="18" s="1"/>
  <c r="U103" i="18"/>
  <c r="R103" i="18"/>
  <c r="Q103" i="18" s="1"/>
  <c r="N103" i="18"/>
  <c r="O103" i="18" s="1"/>
  <c r="L103" i="18"/>
  <c r="M103" i="18" s="1"/>
  <c r="U102" i="18"/>
  <c r="R102" i="18"/>
  <c r="Q102" i="18" s="1"/>
  <c r="N102" i="18"/>
  <c r="O102" i="18" s="1"/>
  <c r="L102" i="18"/>
  <c r="M102" i="18" s="1"/>
  <c r="U101" i="18"/>
  <c r="R101" i="18"/>
  <c r="Q101" i="18" s="1"/>
  <c r="N101" i="18"/>
  <c r="O101" i="18" s="1"/>
  <c r="L101" i="18"/>
  <c r="M101" i="18" s="1"/>
  <c r="U100" i="18"/>
  <c r="R100" i="18"/>
  <c r="Q100" i="18" s="1"/>
  <c r="N100" i="18"/>
  <c r="O100" i="18" s="1"/>
  <c r="L100" i="18"/>
  <c r="M100" i="18" s="1"/>
  <c r="W99" i="18"/>
  <c r="R99" i="18" s="1"/>
  <c r="Q99" i="18" s="1"/>
  <c r="U99" i="18"/>
  <c r="N99" i="18"/>
  <c r="O99" i="18" s="1"/>
  <c r="L99" i="18"/>
  <c r="M99" i="18" s="1"/>
  <c r="U98" i="18"/>
  <c r="R98" i="18"/>
  <c r="Q98" i="18" s="1"/>
  <c r="N98" i="18"/>
  <c r="O98" i="18" s="1"/>
  <c r="L98" i="18"/>
  <c r="M98" i="18" s="1"/>
  <c r="U97" i="18"/>
  <c r="R97" i="18"/>
  <c r="Q97" i="18" s="1"/>
  <c r="N97" i="18"/>
  <c r="O97" i="18" s="1"/>
  <c r="L97" i="18"/>
  <c r="M97" i="18" s="1"/>
  <c r="W96" i="18"/>
  <c r="R96" i="18" s="1"/>
  <c r="Q96" i="18" s="1"/>
  <c r="U96" i="18"/>
  <c r="N96" i="18"/>
  <c r="O96" i="18" s="1"/>
  <c r="L96" i="18"/>
  <c r="M96" i="18" s="1"/>
  <c r="W95" i="18"/>
  <c r="V95" i="18"/>
  <c r="U95" i="18"/>
  <c r="N95" i="18"/>
  <c r="O95" i="18" s="1"/>
  <c r="L95" i="18"/>
  <c r="M95" i="18" s="1"/>
  <c r="U94" i="18"/>
  <c r="R94" i="18"/>
  <c r="Q94" i="18" s="1"/>
  <c r="N94" i="18"/>
  <c r="O94" i="18" s="1"/>
  <c r="L94" i="18"/>
  <c r="M94" i="18" s="1"/>
  <c r="W93" i="18"/>
  <c r="V93" i="18"/>
  <c r="U93" i="18"/>
  <c r="N93" i="18"/>
  <c r="O93" i="18" s="1"/>
  <c r="L93" i="18"/>
  <c r="M93" i="18" s="1"/>
  <c r="V92" i="18"/>
  <c r="R92" i="18" s="1"/>
  <c r="Q92" i="18" s="1"/>
  <c r="U92" i="18"/>
  <c r="N92" i="18"/>
  <c r="O92" i="18" s="1"/>
  <c r="L92" i="18"/>
  <c r="M92" i="18" s="1"/>
  <c r="V91" i="18"/>
  <c r="R91" i="18" s="1"/>
  <c r="Q91" i="18" s="1"/>
  <c r="U91" i="18"/>
  <c r="N91" i="18"/>
  <c r="O91" i="18" s="1"/>
  <c r="L91" i="18"/>
  <c r="M91" i="18" s="1"/>
  <c r="U90" i="18"/>
  <c r="R90" i="18"/>
  <c r="Q90" i="18" s="1"/>
  <c r="N90" i="18"/>
  <c r="O90" i="18" s="1"/>
  <c r="L90" i="18"/>
  <c r="M90" i="18" s="1"/>
  <c r="U89" i="18"/>
  <c r="R89" i="18"/>
  <c r="Q89" i="18" s="1"/>
  <c r="N89" i="18"/>
  <c r="O89" i="18" s="1"/>
  <c r="L89" i="18"/>
  <c r="M89" i="18" s="1"/>
  <c r="U88" i="18"/>
  <c r="R88" i="18"/>
  <c r="Q88" i="18" s="1"/>
  <c r="N88" i="18"/>
  <c r="O88" i="18" s="1"/>
  <c r="L88" i="18"/>
  <c r="M88" i="18" s="1"/>
  <c r="U87" i="18"/>
  <c r="R87" i="18"/>
  <c r="Q87" i="18" s="1"/>
  <c r="N87" i="18"/>
  <c r="O87" i="18" s="1"/>
  <c r="L87" i="18"/>
  <c r="M87" i="18" s="1"/>
  <c r="U86" i="18"/>
  <c r="R86" i="18"/>
  <c r="Q86" i="18" s="1"/>
  <c r="N86" i="18"/>
  <c r="O86" i="18" s="1"/>
  <c r="L86" i="18"/>
  <c r="M86" i="18" s="1"/>
  <c r="U85" i="18"/>
  <c r="R85" i="18"/>
  <c r="Q85" i="18" s="1"/>
  <c r="N85" i="18"/>
  <c r="O85" i="18" s="1"/>
  <c r="L85" i="18"/>
  <c r="M85" i="18" s="1"/>
  <c r="X84" i="18"/>
  <c r="V84" i="18"/>
  <c r="U84" i="18"/>
  <c r="N84" i="18"/>
  <c r="O84" i="18" s="1"/>
  <c r="L84" i="18"/>
  <c r="M84" i="18" s="1"/>
  <c r="X83" i="18"/>
  <c r="V83" i="18"/>
  <c r="U83" i="18"/>
  <c r="N83" i="18"/>
  <c r="O83" i="18" s="1"/>
  <c r="L83" i="18"/>
  <c r="M83" i="18" s="1"/>
  <c r="V82" i="18"/>
  <c r="R82" i="18" s="1"/>
  <c r="Q82" i="18" s="1"/>
  <c r="U82" i="18"/>
  <c r="N82" i="18"/>
  <c r="O82" i="18" s="1"/>
  <c r="L82" i="18"/>
  <c r="M82" i="18" s="1"/>
  <c r="W81" i="18"/>
  <c r="R81" i="18" s="1"/>
  <c r="Q81" i="18" s="1"/>
  <c r="U81" i="18"/>
  <c r="N81" i="18"/>
  <c r="O81" i="18" s="1"/>
  <c r="L81" i="18"/>
  <c r="M81" i="18" s="1"/>
  <c r="U80" i="18"/>
  <c r="R80" i="18"/>
  <c r="Q80" i="18" s="1"/>
  <c r="N80" i="18"/>
  <c r="O80" i="18" s="1"/>
  <c r="L80" i="18"/>
  <c r="M80" i="18" s="1"/>
  <c r="U79" i="18"/>
  <c r="R79" i="18"/>
  <c r="Q79" i="18" s="1"/>
  <c r="N79" i="18"/>
  <c r="O79" i="18" s="1"/>
  <c r="L79" i="18"/>
  <c r="M79" i="18" s="1"/>
  <c r="U78" i="18"/>
  <c r="R78" i="18"/>
  <c r="Q78" i="18" s="1"/>
  <c r="N78" i="18"/>
  <c r="O78" i="18" s="1"/>
  <c r="L78" i="18"/>
  <c r="M78" i="18" s="1"/>
  <c r="W77" i="18"/>
  <c r="R77" i="18" s="1"/>
  <c r="Q77" i="18" s="1"/>
  <c r="U77" i="18"/>
  <c r="N77" i="18"/>
  <c r="O77" i="18" s="1"/>
  <c r="L77" i="18"/>
  <c r="M77" i="18" s="1"/>
  <c r="U76" i="18"/>
  <c r="R76" i="18"/>
  <c r="Q76" i="18" s="1"/>
  <c r="N76" i="18"/>
  <c r="O76" i="18" s="1"/>
  <c r="L76" i="18"/>
  <c r="M76" i="18" s="1"/>
  <c r="U75" i="18"/>
  <c r="R75" i="18"/>
  <c r="Q75" i="18" s="1"/>
  <c r="N75" i="18"/>
  <c r="O75" i="18" s="1"/>
  <c r="L75" i="18"/>
  <c r="M75" i="18" s="1"/>
  <c r="U74" i="18"/>
  <c r="R74" i="18"/>
  <c r="Q74" i="18" s="1"/>
  <c r="N74" i="18"/>
  <c r="O74" i="18" s="1"/>
  <c r="L74" i="18"/>
  <c r="M74" i="18" s="1"/>
  <c r="V73" i="18"/>
  <c r="R73" i="18" s="1"/>
  <c r="Q73" i="18" s="1"/>
  <c r="U73" i="18"/>
  <c r="N73" i="18"/>
  <c r="O73" i="18" s="1"/>
  <c r="L73" i="18"/>
  <c r="M73" i="18" s="1"/>
  <c r="V72" i="18"/>
  <c r="R72" i="18" s="1"/>
  <c r="Q72" i="18" s="1"/>
  <c r="U72" i="18"/>
  <c r="N72" i="18"/>
  <c r="O72" i="18" s="1"/>
  <c r="L72" i="18"/>
  <c r="M72" i="18" s="1"/>
  <c r="W71" i="18"/>
  <c r="V71" i="18"/>
  <c r="U71" i="18"/>
  <c r="N71" i="18"/>
  <c r="O71" i="18" s="1"/>
  <c r="L71" i="18"/>
  <c r="M71" i="18" s="1"/>
  <c r="U70" i="18"/>
  <c r="R70" i="18"/>
  <c r="Q70" i="18" s="1"/>
  <c r="N70" i="18"/>
  <c r="O70" i="18" s="1"/>
  <c r="L70" i="18"/>
  <c r="M70" i="18" s="1"/>
  <c r="W69" i="18"/>
  <c r="R69" i="18" s="1"/>
  <c r="Q69" i="18" s="1"/>
  <c r="U69" i="18"/>
  <c r="N69" i="18"/>
  <c r="O69" i="18" s="1"/>
  <c r="L69" i="18"/>
  <c r="M69" i="18" s="1"/>
  <c r="W68" i="18"/>
  <c r="R68" i="18" s="1"/>
  <c r="Q68" i="18" s="1"/>
  <c r="U68" i="18"/>
  <c r="N68" i="18"/>
  <c r="O68" i="18" s="1"/>
  <c r="L68" i="18"/>
  <c r="M68" i="18" s="1"/>
  <c r="W67" i="18"/>
  <c r="R67" i="18" s="1"/>
  <c r="Q67" i="18" s="1"/>
  <c r="U67" i="18"/>
  <c r="N67" i="18"/>
  <c r="O67" i="18" s="1"/>
  <c r="L67" i="18"/>
  <c r="M67" i="18" s="1"/>
  <c r="U66" i="18"/>
  <c r="R66" i="18"/>
  <c r="Q66" i="18" s="1"/>
  <c r="N66" i="18"/>
  <c r="O66" i="18" s="1"/>
  <c r="L66" i="18"/>
  <c r="M66" i="18" s="1"/>
  <c r="U65" i="18"/>
  <c r="R65" i="18"/>
  <c r="Q65" i="18" s="1"/>
  <c r="N65" i="18"/>
  <c r="O65" i="18" s="1"/>
  <c r="L65" i="18"/>
  <c r="M65" i="18" s="1"/>
  <c r="U64" i="18"/>
  <c r="R64" i="18"/>
  <c r="Q64" i="18" s="1"/>
  <c r="N64" i="18"/>
  <c r="O64" i="18" s="1"/>
  <c r="L64" i="18"/>
  <c r="M64" i="18" s="1"/>
  <c r="U63" i="18"/>
  <c r="R63" i="18"/>
  <c r="Q63" i="18" s="1"/>
  <c r="N63" i="18"/>
  <c r="O63" i="18" s="1"/>
  <c r="L63" i="18"/>
  <c r="M63" i="18" s="1"/>
  <c r="U62" i="18"/>
  <c r="R62" i="18"/>
  <c r="Q62" i="18" s="1"/>
  <c r="N62" i="18"/>
  <c r="O62" i="18" s="1"/>
  <c r="L62" i="18"/>
  <c r="M62" i="18" s="1"/>
  <c r="W61" i="18"/>
  <c r="R61" i="18" s="1"/>
  <c r="Q61" i="18" s="1"/>
  <c r="U61" i="18"/>
  <c r="N61" i="18"/>
  <c r="O61" i="18" s="1"/>
  <c r="L61" i="18"/>
  <c r="M61" i="18" s="1"/>
  <c r="W60" i="18"/>
  <c r="R60" i="18" s="1"/>
  <c r="Q60" i="18" s="1"/>
  <c r="U60" i="18"/>
  <c r="N60" i="18"/>
  <c r="O60" i="18" s="1"/>
  <c r="L60" i="18"/>
  <c r="M60" i="18" s="1"/>
  <c r="W59" i="18"/>
  <c r="R59" i="18" s="1"/>
  <c r="Q59" i="18" s="1"/>
  <c r="U59" i="18"/>
  <c r="N59" i="18"/>
  <c r="O59" i="18" s="1"/>
  <c r="L59" i="18"/>
  <c r="M59" i="18" s="1"/>
  <c r="W58" i="18"/>
  <c r="R58" i="18" s="1"/>
  <c r="Q58" i="18" s="1"/>
  <c r="U58" i="18"/>
  <c r="N58" i="18"/>
  <c r="O58" i="18" s="1"/>
  <c r="L58" i="18"/>
  <c r="M58" i="18" s="1"/>
  <c r="W57" i="18"/>
  <c r="R57" i="18" s="1"/>
  <c r="Q57" i="18" s="1"/>
  <c r="U57" i="18"/>
  <c r="N57" i="18"/>
  <c r="O57" i="18" s="1"/>
  <c r="L57" i="18"/>
  <c r="M57" i="18" s="1"/>
  <c r="U56" i="18"/>
  <c r="R56" i="18"/>
  <c r="Q56" i="18" s="1"/>
  <c r="N56" i="18"/>
  <c r="O56" i="18" s="1"/>
  <c r="L56" i="18"/>
  <c r="M56" i="18" s="1"/>
  <c r="W55" i="18"/>
  <c r="R55" i="18" s="1"/>
  <c r="Q55" i="18" s="1"/>
  <c r="U55" i="18"/>
  <c r="N55" i="18"/>
  <c r="O55" i="18" s="1"/>
  <c r="L55" i="18"/>
  <c r="M55" i="18" s="1"/>
  <c r="W54" i="18"/>
  <c r="R54" i="18" s="1"/>
  <c r="Q54" i="18" s="1"/>
  <c r="U54" i="18"/>
  <c r="N54" i="18"/>
  <c r="O54" i="18" s="1"/>
  <c r="L54" i="18"/>
  <c r="M54" i="18" s="1"/>
  <c r="W53" i="18"/>
  <c r="R53" i="18" s="1"/>
  <c r="Q53" i="18" s="1"/>
  <c r="U53" i="18"/>
  <c r="N53" i="18"/>
  <c r="O53" i="18" s="1"/>
  <c r="L53" i="18"/>
  <c r="M53" i="18" s="1"/>
  <c r="W52" i="18"/>
  <c r="R52" i="18" s="1"/>
  <c r="Q52" i="18" s="1"/>
  <c r="U52" i="18"/>
  <c r="N52" i="18"/>
  <c r="O52" i="18" s="1"/>
  <c r="L52" i="18"/>
  <c r="M52" i="18" s="1"/>
  <c r="W51" i="18"/>
  <c r="R51" i="18" s="1"/>
  <c r="Q51" i="18" s="1"/>
  <c r="U51" i="18"/>
  <c r="N51" i="18"/>
  <c r="O51" i="18" s="1"/>
  <c r="L51" i="18"/>
  <c r="M51" i="18" s="1"/>
  <c r="W50" i="18"/>
  <c r="R50" i="18" s="1"/>
  <c r="Q50" i="18" s="1"/>
  <c r="U50" i="18"/>
  <c r="N50" i="18"/>
  <c r="O50" i="18" s="1"/>
  <c r="L50" i="18"/>
  <c r="M50" i="18" s="1"/>
  <c r="W49" i="18"/>
  <c r="R49" i="18" s="1"/>
  <c r="Q49" i="18" s="1"/>
  <c r="U49" i="18"/>
  <c r="N49" i="18"/>
  <c r="O49" i="18" s="1"/>
  <c r="L49" i="18"/>
  <c r="M49" i="18" s="1"/>
  <c r="U48" i="18"/>
  <c r="R48" i="18"/>
  <c r="Q48" i="18" s="1"/>
  <c r="N48" i="18"/>
  <c r="O48" i="18" s="1"/>
  <c r="L48" i="18"/>
  <c r="M48" i="18" s="1"/>
  <c r="U47" i="18"/>
  <c r="R47" i="18"/>
  <c r="Q47" i="18" s="1"/>
  <c r="N47" i="18"/>
  <c r="O47" i="18" s="1"/>
  <c r="L47" i="18"/>
  <c r="M47" i="18" s="1"/>
  <c r="U46" i="18"/>
  <c r="R46" i="18"/>
  <c r="Q46" i="18" s="1"/>
  <c r="N46" i="18"/>
  <c r="O46" i="18" s="1"/>
  <c r="L46" i="18"/>
  <c r="M46" i="18" s="1"/>
  <c r="U45" i="18"/>
  <c r="R45" i="18"/>
  <c r="Q45" i="18" s="1"/>
  <c r="N45" i="18"/>
  <c r="O45" i="18" s="1"/>
  <c r="L45" i="18"/>
  <c r="M45" i="18" s="1"/>
  <c r="U44" i="18"/>
  <c r="R44" i="18"/>
  <c r="Q44" i="18" s="1"/>
  <c r="N44" i="18"/>
  <c r="O44" i="18" s="1"/>
  <c r="L44" i="18"/>
  <c r="M44" i="18" s="1"/>
  <c r="U43" i="18"/>
  <c r="R43" i="18"/>
  <c r="Q43" i="18" s="1"/>
  <c r="N43" i="18"/>
  <c r="O43" i="18" s="1"/>
  <c r="L43" i="18"/>
  <c r="M43" i="18" s="1"/>
  <c r="U42" i="18"/>
  <c r="R42" i="18"/>
  <c r="Q42" i="18" s="1"/>
  <c r="N42" i="18"/>
  <c r="O42" i="18" s="1"/>
  <c r="L42" i="18"/>
  <c r="M42" i="18" s="1"/>
  <c r="U41" i="18"/>
  <c r="R41" i="18"/>
  <c r="Q41" i="18" s="1"/>
  <c r="N41" i="18"/>
  <c r="O41" i="18" s="1"/>
  <c r="L41" i="18"/>
  <c r="M41" i="18" s="1"/>
  <c r="U40" i="18"/>
  <c r="R40" i="18"/>
  <c r="Q40" i="18" s="1"/>
  <c r="N40" i="18"/>
  <c r="O40" i="18" s="1"/>
  <c r="L40" i="18"/>
  <c r="M40" i="18" s="1"/>
  <c r="U39" i="18"/>
  <c r="R39" i="18"/>
  <c r="Q39" i="18" s="1"/>
  <c r="N39" i="18"/>
  <c r="O39" i="18" s="1"/>
  <c r="L39" i="18"/>
  <c r="M39" i="18" s="1"/>
  <c r="U38" i="18"/>
  <c r="R38" i="18"/>
  <c r="Q38" i="18" s="1"/>
  <c r="N38" i="18"/>
  <c r="O38" i="18" s="1"/>
  <c r="L38" i="18"/>
  <c r="M38" i="18" s="1"/>
  <c r="U37" i="18"/>
  <c r="R37" i="18"/>
  <c r="Q37" i="18" s="1"/>
  <c r="N37" i="18"/>
  <c r="O37" i="18" s="1"/>
  <c r="L37" i="18"/>
  <c r="M37" i="18" s="1"/>
  <c r="U36" i="18"/>
  <c r="R36" i="18"/>
  <c r="Q36" i="18" s="1"/>
  <c r="N36" i="18"/>
  <c r="O36" i="18" s="1"/>
  <c r="L36" i="18"/>
  <c r="M36" i="18" s="1"/>
  <c r="U35" i="18"/>
  <c r="R35" i="18"/>
  <c r="Q35" i="18" s="1"/>
  <c r="N35" i="18"/>
  <c r="O35" i="18" s="1"/>
  <c r="L35" i="18"/>
  <c r="M35" i="18" s="1"/>
  <c r="U34" i="18"/>
  <c r="R34" i="18"/>
  <c r="Q34" i="18" s="1"/>
  <c r="N34" i="18"/>
  <c r="O34" i="18" s="1"/>
  <c r="L34" i="18"/>
  <c r="M34" i="18" s="1"/>
  <c r="U33" i="18"/>
  <c r="R33" i="18"/>
  <c r="Q33" i="18" s="1"/>
  <c r="N33" i="18"/>
  <c r="O33" i="18" s="1"/>
  <c r="L33" i="18"/>
  <c r="M33" i="18" s="1"/>
  <c r="U32" i="18"/>
  <c r="R32" i="18"/>
  <c r="Q32" i="18" s="1"/>
  <c r="N32" i="18"/>
  <c r="O32" i="18" s="1"/>
  <c r="L32" i="18"/>
  <c r="M32" i="18" s="1"/>
  <c r="U31" i="18"/>
  <c r="R31" i="18"/>
  <c r="Q31" i="18" s="1"/>
  <c r="N31" i="18"/>
  <c r="O31" i="18" s="1"/>
  <c r="L31" i="18"/>
  <c r="M31" i="18" s="1"/>
  <c r="U30" i="18"/>
  <c r="R30" i="18"/>
  <c r="Q30" i="18" s="1"/>
  <c r="N30" i="18"/>
  <c r="O30" i="18" s="1"/>
  <c r="L30" i="18"/>
  <c r="M30" i="18" s="1"/>
  <c r="U29" i="18"/>
  <c r="R29" i="18"/>
  <c r="N29" i="18"/>
  <c r="O29" i="18" s="1"/>
  <c r="L29" i="18"/>
  <c r="M29" i="18" s="1"/>
  <c r="U28" i="18"/>
  <c r="R28" i="18"/>
  <c r="N28" i="18"/>
  <c r="O28" i="18" s="1"/>
  <c r="L28" i="18"/>
  <c r="M28" i="18" s="1"/>
  <c r="U27" i="18"/>
  <c r="R27" i="18"/>
  <c r="N27" i="18"/>
  <c r="O27" i="18" s="1"/>
  <c r="L27" i="18"/>
  <c r="M27" i="18" s="1"/>
  <c r="U26" i="18"/>
  <c r="R26" i="18"/>
  <c r="N26" i="18"/>
  <c r="O26" i="18" s="1"/>
  <c r="L26" i="18"/>
  <c r="M26" i="18" s="1"/>
  <c r="U25" i="18"/>
  <c r="R25" i="18"/>
  <c r="N25" i="18"/>
  <c r="O25" i="18" s="1"/>
  <c r="L25" i="18"/>
  <c r="M25" i="18" s="1"/>
  <c r="U24" i="18"/>
  <c r="R24" i="18"/>
  <c r="N24" i="18"/>
  <c r="O24" i="18" s="1"/>
  <c r="L24" i="18"/>
  <c r="M24" i="18" s="1"/>
  <c r="U23" i="18"/>
  <c r="R23" i="18"/>
  <c r="N23" i="18"/>
  <c r="O23" i="18" s="1"/>
  <c r="L23" i="18"/>
  <c r="M23" i="18" s="1"/>
  <c r="U22" i="18"/>
  <c r="R22" i="18"/>
  <c r="N22" i="18"/>
  <c r="O22" i="18" s="1"/>
  <c r="L22" i="18"/>
  <c r="M22" i="18" s="1"/>
  <c r="U21" i="18"/>
  <c r="R21" i="18"/>
  <c r="N21" i="18"/>
  <c r="O21" i="18" s="1"/>
  <c r="L21" i="18"/>
  <c r="M21" i="18" s="1"/>
  <c r="U20" i="18"/>
  <c r="R20" i="18"/>
  <c r="N20" i="18"/>
  <c r="O20" i="18" s="1"/>
  <c r="L20" i="18"/>
  <c r="M20" i="18" s="1"/>
  <c r="U19" i="18"/>
  <c r="R19" i="18"/>
  <c r="N19" i="18"/>
  <c r="O19" i="18" s="1"/>
  <c r="L19" i="18"/>
  <c r="M19" i="18" s="1"/>
  <c r="AQ18" i="18"/>
  <c r="AC18" i="18" s="1"/>
  <c r="U18" i="18"/>
  <c r="R18" i="18"/>
  <c r="N18" i="18"/>
  <c r="O18" i="18" s="1"/>
  <c r="L18" i="18"/>
  <c r="M18" i="18" s="1"/>
  <c r="AQ17" i="18"/>
  <c r="AC17" i="18" s="1"/>
  <c r="U17" i="18"/>
  <c r="R17" i="18"/>
  <c r="N17" i="18"/>
  <c r="O17" i="18" s="1"/>
  <c r="L17" i="18"/>
  <c r="M17" i="18" s="1"/>
  <c r="AS16" i="18"/>
  <c r="X16" i="18"/>
  <c r="U16" i="18"/>
  <c r="N16" i="18"/>
  <c r="O16" i="18" s="1"/>
  <c r="L16" i="18"/>
  <c r="M16" i="18" s="1"/>
  <c r="AS15" i="18"/>
  <c r="X15" i="18"/>
  <c r="U15" i="18"/>
  <c r="N15" i="18"/>
  <c r="O15" i="18" s="1"/>
  <c r="L15" i="18"/>
  <c r="M15" i="18" s="1"/>
  <c r="U14" i="18"/>
  <c r="R14" i="18"/>
  <c r="Q14" i="18" s="1"/>
  <c r="N14" i="18"/>
  <c r="O14" i="18" s="1"/>
  <c r="L14" i="18"/>
  <c r="M14" i="18" s="1"/>
  <c r="U13" i="18"/>
  <c r="R13" i="18"/>
  <c r="Q13" i="18" s="1"/>
  <c r="N13" i="18"/>
  <c r="O13" i="18" s="1"/>
  <c r="L13" i="18"/>
  <c r="M13" i="18" s="1"/>
  <c r="AS12" i="18"/>
  <c r="AQ12" i="18"/>
  <c r="AC12" i="18" s="1"/>
  <c r="U12" i="18"/>
  <c r="R12" i="18"/>
  <c r="Q12" i="18" s="1"/>
  <c r="N12" i="18"/>
  <c r="O12" i="18" s="1"/>
  <c r="L12" i="18"/>
  <c r="M12" i="18" s="1"/>
  <c r="T11" i="18"/>
  <c r="U11" i="18" s="1"/>
  <c r="S11" i="18"/>
  <c r="N11" i="18"/>
  <c r="O11" i="18" s="1"/>
  <c r="L11" i="18"/>
  <c r="M11" i="18" s="1"/>
  <c r="T10" i="18"/>
  <c r="U10" i="18" s="1"/>
  <c r="S10" i="18"/>
  <c r="N10" i="18"/>
  <c r="O10" i="18" s="1"/>
  <c r="L10" i="18"/>
  <c r="M10" i="18" s="1"/>
  <c r="T9" i="18"/>
  <c r="U9" i="18" s="1"/>
  <c r="S9" i="18"/>
  <c r="N9" i="18"/>
  <c r="O9" i="18" s="1"/>
  <c r="L9" i="18"/>
  <c r="M9" i="18" s="1"/>
  <c r="U8" i="18"/>
  <c r="R8" i="18"/>
  <c r="Q8" i="18" s="1"/>
  <c r="N8" i="18"/>
  <c r="O8" i="18" s="1"/>
  <c r="L8" i="18"/>
  <c r="M8" i="18" s="1"/>
  <c r="U7" i="18"/>
  <c r="R7" i="18"/>
  <c r="Q7" i="18" s="1"/>
  <c r="N7" i="18"/>
  <c r="O7" i="18" s="1"/>
  <c r="L7" i="18"/>
  <c r="M7" i="18" s="1"/>
  <c r="U6" i="18"/>
  <c r="R6" i="18"/>
  <c r="Q6" i="18" s="1"/>
  <c r="N6" i="18"/>
  <c r="O6" i="18" s="1"/>
  <c r="L6" i="18"/>
  <c r="M6" i="18" s="1"/>
  <c r="U5" i="18"/>
  <c r="R5" i="18"/>
  <c r="Q5" i="18" s="1"/>
  <c r="N5" i="18"/>
  <c r="O5" i="18" s="1"/>
  <c r="L5" i="18"/>
  <c r="M5" i="18" s="1"/>
  <c r="R164" i="18" l="1"/>
  <c r="Q164" i="18" s="1"/>
  <c r="R84" i="18"/>
  <c r="Q84" i="18" s="1"/>
  <c r="R11" i="18"/>
  <c r="Q11" i="18" s="1"/>
  <c r="R116" i="18"/>
  <c r="Q116" i="18" s="1"/>
  <c r="R83" i="18"/>
  <c r="Q83" i="18" s="1"/>
  <c r="R130" i="18"/>
  <c r="Q130" i="18" s="1"/>
  <c r="R174" i="18"/>
  <c r="Q174" i="18" s="1"/>
  <c r="R114" i="18"/>
  <c r="Q114" i="18" s="1"/>
  <c r="R118" i="18"/>
  <c r="Q129" i="18"/>
  <c r="R148" i="18"/>
  <c r="R166" i="18"/>
  <c r="Q166" i="18" s="1"/>
  <c r="R15" i="18"/>
  <c r="Q17" i="18"/>
  <c r="Q19" i="18"/>
  <c r="Q21" i="18"/>
  <c r="Q23" i="18"/>
  <c r="Q25" i="18"/>
  <c r="Q27" i="18"/>
  <c r="Q29" i="18"/>
  <c r="R108" i="18"/>
  <c r="Q108" i="18" s="1"/>
  <c r="Q131" i="18"/>
  <c r="Q151" i="18"/>
  <c r="R10" i="18"/>
  <c r="Q10" i="18" s="1"/>
  <c r="U110" i="18"/>
  <c r="Q18" i="18"/>
  <c r="Q20" i="18"/>
  <c r="Q22" i="18"/>
  <c r="Q24" i="18"/>
  <c r="Q26" i="18"/>
  <c r="Q28" i="18"/>
  <c r="R71" i="18"/>
  <c r="Q71" i="18" s="1"/>
  <c r="R115" i="18"/>
  <c r="Q115" i="18" s="1"/>
  <c r="R9" i="18"/>
  <c r="Q9" i="18" s="1"/>
  <c r="R16" i="18"/>
  <c r="R93" i="18"/>
  <c r="Q93" i="18" s="1"/>
  <c r="R95" i="18"/>
  <c r="Q95" i="18" s="1"/>
  <c r="Q117" i="18"/>
  <c r="U157" i="18"/>
  <c r="Q160" i="18"/>
  <c r="R112" i="18"/>
  <c r="R110" i="18"/>
  <c r="R157" i="18"/>
  <c r="Q148" i="18" l="1"/>
  <c r="Q118" i="18"/>
  <c r="Q15" i="18"/>
  <c r="Q110" i="18"/>
  <c r="Q157" i="18"/>
  <c r="Q112" i="18"/>
  <c r="Q16" i="18"/>
  <c r="D24" i="16" l="1"/>
  <c r="D23" i="16"/>
  <c r="D21" i="16"/>
  <c r="D20" i="16"/>
  <c r="D19" i="16"/>
  <c r="D18" i="16"/>
  <c r="D17" i="16"/>
  <c r="D16" i="16"/>
  <c r="D15" i="16"/>
  <c r="D14" i="16"/>
  <c r="D13" i="16"/>
  <c r="D12" i="16"/>
  <c r="D11" i="16"/>
  <c r="D10" i="16"/>
  <c r="D9" i="16"/>
  <c r="D8" i="16"/>
  <c r="D6" i="16"/>
  <c r="D5" i="16"/>
  <c r="D4" i="16"/>
  <c r="D22" i="16" l="1"/>
  <c r="D7" i="16"/>
  <c r="D25" i="1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마케팅팀</author>
    <author>User</author>
    <author>user</author>
  </authors>
  <commentList>
    <comment ref="X15" authorId="0" shapeId="0" xr:uid="{00000000-0006-0000-0100-000001000000}">
      <text>
        <r>
          <rPr>
            <b/>
            <sz val="9"/>
            <color indexed="81"/>
            <rFont val="돋움"/>
            <family val="3"/>
            <charset val="129"/>
          </rPr>
          <t>퍼프</t>
        </r>
        <r>
          <rPr>
            <b/>
            <sz val="9"/>
            <color indexed="81"/>
            <rFont val="Tahoma"/>
            <family val="2"/>
          </rPr>
          <t>:385 (</t>
        </r>
        <r>
          <rPr>
            <b/>
            <sz val="9"/>
            <color indexed="81"/>
            <rFont val="돋움"/>
            <family val="3"/>
            <charset val="129"/>
          </rPr>
          <t>한국피앤피</t>
        </r>
        <r>
          <rPr>
            <b/>
            <sz val="9"/>
            <color indexed="81"/>
            <rFont val="Tahoma"/>
            <family val="2"/>
          </rPr>
          <t xml:space="preserve">)
</t>
        </r>
        <r>
          <rPr>
            <b/>
            <sz val="9"/>
            <color indexed="81"/>
            <rFont val="돋움"/>
            <family val="3"/>
            <charset val="129"/>
          </rPr>
          <t>스폰지</t>
        </r>
        <r>
          <rPr>
            <b/>
            <sz val="9"/>
            <color indexed="81"/>
            <rFont val="Tahoma"/>
            <family val="2"/>
          </rPr>
          <t>:154 (</t>
        </r>
        <r>
          <rPr>
            <b/>
            <sz val="9"/>
            <color indexed="81"/>
            <rFont val="돋움"/>
            <family val="3"/>
            <charset val="129"/>
          </rPr>
          <t>한국피앤피</t>
        </r>
        <r>
          <rPr>
            <b/>
            <sz val="9"/>
            <color indexed="81"/>
            <rFont val="Tahoma"/>
            <family val="2"/>
          </rPr>
          <t xml:space="preserve">)
</t>
        </r>
        <r>
          <rPr>
            <b/>
            <sz val="9"/>
            <color indexed="81"/>
            <rFont val="돋움"/>
            <family val="3"/>
            <charset val="129"/>
          </rPr>
          <t>홋수라벨</t>
        </r>
        <r>
          <rPr>
            <b/>
            <sz val="9"/>
            <color indexed="81"/>
            <rFont val="Tahoma"/>
            <family val="2"/>
          </rPr>
          <t xml:space="preserve">:22
</t>
        </r>
        <r>
          <rPr>
            <b/>
            <sz val="9"/>
            <color indexed="81"/>
            <rFont val="돋움"/>
            <family val="3"/>
            <charset val="129"/>
          </rPr>
          <t>실라벨</t>
        </r>
        <r>
          <rPr>
            <b/>
            <sz val="9"/>
            <color indexed="81"/>
            <rFont val="Tahoma"/>
            <family val="2"/>
          </rPr>
          <t>:33</t>
        </r>
      </text>
    </comment>
    <comment ref="AR15" authorId="0" shapeId="0" xr:uid="{00000000-0006-0000-0100-000002000000}">
      <text>
        <r>
          <rPr>
            <b/>
            <sz val="9"/>
            <color indexed="81"/>
            <rFont val="돋움"/>
            <family val="3"/>
            <charset val="129"/>
          </rPr>
          <t>이영준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실라벨</t>
        </r>
        <r>
          <rPr>
            <sz val="9"/>
            <color indexed="81"/>
            <rFont val="Tahoma"/>
            <family val="2"/>
          </rPr>
          <t xml:space="preserve"> 33</t>
        </r>
      </text>
    </comment>
    <comment ref="X16" authorId="0" shapeId="0" xr:uid="{00000000-0006-0000-0100-000003000000}">
      <text>
        <r>
          <rPr>
            <b/>
            <sz val="9"/>
            <color indexed="81"/>
            <rFont val="돋움"/>
            <family val="3"/>
            <charset val="129"/>
          </rPr>
          <t>퍼프</t>
        </r>
        <r>
          <rPr>
            <b/>
            <sz val="9"/>
            <color indexed="81"/>
            <rFont val="Tahoma"/>
            <family val="2"/>
          </rPr>
          <t>:385 (</t>
        </r>
        <r>
          <rPr>
            <b/>
            <sz val="9"/>
            <color indexed="81"/>
            <rFont val="돋움"/>
            <family val="3"/>
            <charset val="129"/>
          </rPr>
          <t>한국피앤피</t>
        </r>
        <r>
          <rPr>
            <b/>
            <sz val="9"/>
            <color indexed="81"/>
            <rFont val="Tahoma"/>
            <family val="2"/>
          </rPr>
          <t xml:space="preserve">)
</t>
        </r>
        <r>
          <rPr>
            <b/>
            <sz val="9"/>
            <color indexed="81"/>
            <rFont val="돋움"/>
            <family val="3"/>
            <charset val="129"/>
          </rPr>
          <t>스폰지</t>
        </r>
        <r>
          <rPr>
            <b/>
            <sz val="9"/>
            <color indexed="81"/>
            <rFont val="Tahoma"/>
            <family val="2"/>
          </rPr>
          <t>:154 (</t>
        </r>
        <r>
          <rPr>
            <b/>
            <sz val="9"/>
            <color indexed="81"/>
            <rFont val="돋움"/>
            <family val="3"/>
            <charset val="129"/>
          </rPr>
          <t>한국피앤피</t>
        </r>
        <r>
          <rPr>
            <b/>
            <sz val="9"/>
            <color indexed="81"/>
            <rFont val="Tahoma"/>
            <family val="2"/>
          </rPr>
          <t xml:space="preserve">)
</t>
        </r>
        <r>
          <rPr>
            <b/>
            <sz val="9"/>
            <color indexed="81"/>
            <rFont val="돋움"/>
            <family val="3"/>
            <charset val="129"/>
          </rPr>
          <t>홋수라벨</t>
        </r>
        <r>
          <rPr>
            <b/>
            <sz val="9"/>
            <color indexed="81"/>
            <rFont val="Tahoma"/>
            <family val="2"/>
          </rPr>
          <t xml:space="preserve">:22
</t>
        </r>
        <r>
          <rPr>
            <b/>
            <sz val="9"/>
            <color indexed="81"/>
            <rFont val="돋움"/>
            <family val="3"/>
            <charset val="129"/>
          </rPr>
          <t>실라벨</t>
        </r>
        <r>
          <rPr>
            <b/>
            <sz val="9"/>
            <color indexed="81"/>
            <rFont val="Tahoma"/>
            <family val="2"/>
          </rPr>
          <t>:33</t>
        </r>
      </text>
    </comment>
    <comment ref="X19" authorId="1" shapeId="0" xr:uid="{00000000-0006-0000-0100-00000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0" authorId="1" shapeId="0" xr:uid="{00000000-0006-0000-0100-00000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1" authorId="1" shapeId="0" xr:uid="{00000000-0006-0000-0100-00000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2" authorId="1" shapeId="0" xr:uid="{00000000-0006-0000-0100-00000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3" authorId="1" shapeId="0" xr:uid="{00000000-0006-0000-0100-00000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4" authorId="1" shapeId="0" xr:uid="{00000000-0006-0000-0100-000009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5" authorId="1" shapeId="0" xr:uid="{00000000-0006-0000-0100-00000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6" authorId="1" shapeId="0" xr:uid="{00000000-0006-0000-0100-00000B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7" authorId="1" shapeId="0" xr:uid="{00000000-0006-0000-0100-00000C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8" authorId="1" shapeId="0" xr:uid="{00000000-0006-0000-0100-00000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9" authorId="1" shapeId="0" xr:uid="{00000000-0006-0000-0100-00000E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V39" authorId="0" shapeId="0" xr:uid="{00000000-0006-0000-0100-00000F000000}">
      <text>
        <r>
          <rPr>
            <b/>
            <sz val="9"/>
            <color indexed="81"/>
            <rFont val="돋움"/>
            <family val="3"/>
            <charset val="129"/>
          </rPr>
          <t>중국용기</t>
        </r>
        <r>
          <rPr>
            <b/>
            <sz val="9"/>
            <color indexed="81"/>
            <rFont val="Tahoma"/>
            <family val="2"/>
          </rPr>
          <t>(YS)806</t>
        </r>
        <r>
          <rPr>
            <b/>
            <sz val="9"/>
            <color indexed="81"/>
            <rFont val="돋움"/>
            <family val="3"/>
            <charset val="129"/>
          </rPr>
          <t xml:space="preserve">원
</t>
        </r>
        <r>
          <rPr>
            <sz val="9"/>
            <color indexed="81"/>
            <rFont val="돋움"/>
            <family val="3"/>
            <charset val="129"/>
          </rPr>
          <t>상해지사핸들링차지</t>
        </r>
        <r>
          <rPr>
            <sz val="9"/>
            <color indexed="81"/>
            <rFont val="Tahoma"/>
            <family val="2"/>
          </rPr>
          <t xml:space="preserve"> 20%</t>
        </r>
        <r>
          <rPr>
            <sz val="9"/>
            <color indexed="81"/>
            <rFont val="돋움"/>
            <family val="3"/>
            <charset val="129"/>
          </rPr>
          <t>포함
국내용기시</t>
        </r>
        <r>
          <rPr>
            <sz val="9"/>
            <color indexed="81"/>
            <rFont val="Tahoma"/>
            <family val="2"/>
          </rPr>
          <t>(990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)</t>
        </r>
      </text>
    </comment>
    <comment ref="V43" authorId="0" shapeId="0" xr:uid="{00000000-0006-0000-0100-000010000000}">
      <text>
        <r>
          <rPr>
            <b/>
            <sz val="9"/>
            <color indexed="81"/>
            <rFont val="돋움"/>
            <family val="3"/>
            <charset val="129"/>
          </rPr>
          <t>중국용기</t>
        </r>
        <r>
          <rPr>
            <b/>
            <sz val="9"/>
            <color indexed="81"/>
            <rFont val="Tahoma"/>
            <family val="2"/>
          </rPr>
          <t>(YS)806</t>
        </r>
        <r>
          <rPr>
            <b/>
            <sz val="9"/>
            <color indexed="81"/>
            <rFont val="돋움"/>
            <family val="3"/>
            <charset val="129"/>
          </rPr>
          <t xml:space="preserve">원
</t>
        </r>
        <r>
          <rPr>
            <sz val="9"/>
            <color indexed="81"/>
            <rFont val="돋움"/>
            <family val="3"/>
            <charset val="129"/>
          </rPr>
          <t>상해지사핸들링차지</t>
        </r>
        <r>
          <rPr>
            <sz val="9"/>
            <color indexed="81"/>
            <rFont val="Tahoma"/>
            <family val="2"/>
          </rPr>
          <t xml:space="preserve"> 20%</t>
        </r>
        <r>
          <rPr>
            <sz val="9"/>
            <color indexed="81"/>
            <rFont val="돋움"/>
            <family val="3"/>
            <charset val="129"/>
          </rPr>
          <t>포함
국내용기시</t>
        </r>
        <r>
          <rPr>
            <sz val="9"/>
            <color indexed="81"/>
            <rFont val="Tahoma"/>
            <family val="2"/>
          </rPr>
          <t>(990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)</t>
        </r>
      </text>
    </comment>
    <comment ref="V44" authorId="0" shapeId="0" xr:uid="{00000000-0006-0000-0100-000011000000}">
      <text>
        <r>
          <rPr>
            <b/>
            <sz val="9"/>
            <color indexed="81"/>
            <rFont val="돋움"/>
            <family val="3"/>
            <charset val="129"/>
          </rPr>
          <t>중국용기</t>
        </r>
        <r>
          <rPr>
            <b/>
            <sz val="9"/>
            <color indexed="81"/>
            <rFont val="Tahoma"/>
            <family val="2"/>
          </rPr>
          <t>(YS)806</t>
        </r>
        <r>
          <rPr>
            <b/>
            <sz val="9"/>
            <color indexed="81"/>
            <rFont val="돋움"/>
            <family val="3"/>
            <charset val="129"/>
          </rPr>
          <t xml:space="preserve">원
</t>
        </r>
        <r>
          <rPr>
            <sz val="9"/>
            <color indexed="81"/>
            <rFont val="돋움"/>
            <family val="3"/>
            <charset val="129"/>
          </rPr>
          <t>상해지사핸들링차지</t>
        </r>
        <r>
          <rPr>
            <sz val="9"/>
            <color indexed="81"/>
            <rFont val="Tahoma"/>
            <family val="2"/>
          </rPr>
          <t xml:space="preserve"> 20%</t>
        </r>
        <r>
          <rPr>
            <sz val="9"/>
            <color indexed="81"/>
            <rFont val="돋움"/>
            <family val="3"/>
            <charset val="129"/>
          </rPr>
          <t>포함
국내용기시</t>
        </r>
        <r>
          <rPr>
            <sz val="9"/>
            <color indexed="81"/>
            <rFont val="Tahoma"/>
            <family val="2"/>
          </rPr>
          <t>(990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)</t>
        </r>
      </text>
    </comment>
    <comment ref="V45" authorId="0" shapeId="0" xr:uid="{00000000-0006-0000-0100-000012000000}">
      <text>
        <r>
          <rPr>
            <b/>
            <sz val="9"/>
            <color indexed="81"/>
            <rFont val="돋움"/>
            <family val="3"/>
            <charset val="129"/>
          </rPr>
          <t>중국용기</t>
        </r>
        <r>
          <rPr>
            <b/>
            <sz val="9"/>
            <color indexed="81"/>
            <rFont val="Tahoma"/>
            <family val="2"/>
          </rPr>
          <t>(YS)806</t>
        </r>
        <r>
          <rPr>
            <b/>
            <sz val="9"/>
            <color indexed="81"/>
            <rFont val="돋움"/>
            <family val="3"/>
            <charset val="129"/>
          </rPr>
          <t xml:space="preserve">원
</t>
        </r>
        <r>
          <rPr>
            <sz val="9"/>
            <color indexed="81"/>
            <rFont val="돋움"/>
            <family val="3"/>
            <charset val="129"/>
          </rPr>
          <t>상해지사핸들링차지</t>
        </r>
        <r>
          <rPr>
            <sz val="9"/>
            <color indexed="81"/>
            <rFont val="Tahoma"/>
            <family val="2"/>
          </rPr>
          <t xml:space="preserve"> 20%</t>
        </r>
        <r>
          <rPr>
            <sz val="9"/>
            <color indexed="81"/>
            <rFont val="돋움"/>
            <family val="3"/>
            <charset val="129"/>
          </rPr>
          <t>포함
국내용기시</t>
        </r>
        <r>
          <rPr>
            <sz val="9"/>
            <color indexed="81"/>
            <rFont val="Tahoma"/>
            <family val="2"/>
          </rPr>
          <t>(990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)</t>
        </r>
      </text>
    </comment>
    <comment ref="V46" authorId="0" shapeId="0" xr:uid="{00000000-0006-0000-0100-000013000000}">
      <text>
        <r>
          <rPr>
            <b/>
            <sz val="9"/>
            <color indexed="81"/>
            <rFont val="돋움"/>
            <family val="3"/>
            <charset val="129"/>
          </rPr>
          <t>중국용기</t>
        </r>
        <r>
          <rPr>
            <b/>
            <sz val="9"/>
            <color indexed="81"/>
            <rFont val="Tahoma"/>
            <family val="2"/>
          </rPr>
          <t>(YS)806</t>
        </r>
        <r>
          <rPr>
            <b/>
            <sz val="9"/>
            <color indexed="81"/>
            <rFont val="돋움"/>
            <family val="3"/>
            <charset val="129"/>
          </rPr>
          <t xml:space="preserve">원
</t>
        </r>
        <r>
          <rPr>
            <sz val="9"/>
            <color indexed="81"/>
            <rFont val="돋움"/>
            <family val="3"/>
            <charset val="129"/>
          </rPr>
          <t>상해지사핸들링차지</t>
        </r>
        <r>
          <rPr>
            <sz val="9"/>
            <color indexed="81"/>
            <rFont val="Tahoma"/>
            <family val="2"/>
          </rPr>
          <t xml:space="preserve"> 20%</t>
        </r>
        <r>
          <rPr>
            <sz val="9"/>
            <color indexed="81"/>
            <rFont val="돋움"/>
            <family val="3"/>
            <charset val="129"/>
          </rPr>
          <t>포함
국내용기시</t>
        </r>
        <r>
          <rPr>
            <sz val="9"/>
            <color indexed="81"/>
            <rFont val="Tahoma"/>
            <family val="2"/>
          </rPr>
          <t>(990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)</t>
        </r>
      </text>
    </comment>
    <comment ref="V47" authorId="0" shapeId="0" xr:uid="{00000000-0006-0000-0100-000014000000}">
      <text>
        <r>
          <rPr>
            <b/>
            <sz val="9"/>
            <color indexed="81"/>
            <rFont val="돋움"/>
            <family val="3"/>
            <charset val="129"/>
          </rPr>
          <t>중국용기</t>
        </r>
        <r>
          <rPr>
            <b/>
            <sz val="9"/>
            <color indexed="81"/>
            <rFont val="Tahoma"/>
            <family val="2"/>
          </rPr>
          <t>(YS)806</t>
        </r>
        <r>
          <rPr>
            <b/>
            <sz val="9"/>
            <color indexed="81"/>
            <rFont val="돋움"/>
            <family val="3"/>
            <charset val="129"/>
          </rPr>
          <t xml:space="preserve">원
</t>
        </r>
        <r>
          <rPr>
            <sz val="9"/>
            <color indexed="81"/>
            <rFont val="돋움"/>
            <family val="3"/>
            <charset val="129"/>
          </rPr>
          <t>상해지사핸들링차지</t>
        </r>
        <r>
          <rPr>
            <sz val="9"/>
            <color indexed="81"/>
            <rFont val="Tahoma"/>
            <family val="2"/>
          </rPr>
          <t xml:space="preserve"> 20%</t>
        </r>
        <r>
          <rPr>
            <sz val="9"/>
            <color indexed="81"/>
            <rFont val="돋움"/>
            <family val="3"/>
            <charset val="129"/>
          </rPr>
          <t>포함
국내용기시</t>
        </r>
        <r>
          <rPr>
            <sz val="9"/>
            <color indexed="81"/>
            <rFont val="Tahoma"/>
            <family val="2"/>
          </rPr>
          <t>(990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)</t>
        </r>
      </text>
    </comment>
    <comment ref="V48" authorId="0" shapeId="0" xr:uid="{00000000-0006-0000-0100-000015000000}">
      <text>
        <r>
          <rPr>
            <b/>
            <sz val="9"/>
            <color indexed="81"/>
            <rFont val="돋움"/>
            <family val="3"/>
            <charset val="129"/>
          </rPr>
          <t>중국용기</t>
        </r>
        <r>
          <rPr>
            <b/>
            <sz val="9"/>
            <color indexed="81"/>
            <rFont val="Tahoma"/>
            <family val="2"/>
          </rPr>
          <t>(YS)806</t>
        </r>
        <r>
          <rPr>
            <b/>
            <sz val="9"/>
            <color indexed="81"/>
            <rFont val="돋움"/>
            <family val="3"/>
            <charset val="129"/>
          </rPr>
          <t xml:space="preserve">원
</t>
        </r>
        <r>
          <rPr>
            <sz val="9"/>
            <color indexed="81"/>
            <rFont val="돋움"/>
            <family val="3"/>
            <charset val="129"/>
          </rPr>
          <t>상해지사핸들링차지</t>
        </r>
        <r>
          <rPr>
            <sz val="9"/>
            <color indexed="81"/>
            <rFont val="Tahoma"/>
            <family val="2"/>
          </rPr>
          <t xml:space="preserve"> 20%</t>
        </r>
        <r>
          <rPr>
            <sz val="9"/>
            <color indexed="81"/>
            <rFont val="돋움"/>
            <family val="3"/>
            <charset val="129"/>
          </rPr>
          <t>포함
국내용기시</t>
        </r>
        <r>
          <rPr>
            <sz val="9"/>
            <color indexed="81"/>
            <rFont val="Tahoma"/>
            <family val="2"/>
          </rPr>
          <t>(990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)</t>
        </r>
      </text>
    </comment>
    <comment ref="V49" authorId="0" shapeId="0" xr:uid="{00000000-0006-0000-0100-000016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49" authorId="1" shapeId="0" xr:uid="{00000000-0006-0000-0100-00001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183*1.1=201.3</t>
        </r>
      </text>
    </comment>
    <comment ref="X49" authorId="1" shapeId="0" xr:uid="{00000000-0006-0000-0100-00001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라벨비용추가
</t>
        </r>
      </text>
    </comment>
    <comment ref="V50" authorId="0" shapeId="0" xr:uid="{00000000-0006-0000-0100-000019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50" authorId="1" shapeId="0" xr:uid="{00000000-0006-0000-0100-00001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183*1.1=201.3</t>
        </r>
      </text>
    </comment>
    <comment ref="V51" authorId="0" shapeId="0" xr:uid="{00000000-0006-0000-0100-00001B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51" authorId="1" shapeId="0" xr:uid="{00000000-0006-0000-0100-00001C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183*1.1=201.3</t>
        </r>
      </text>
    </comment>
    <comment ref="V52" authorId="0" shapeId="0" xr:uid="{00000000-0006-0000-0100-00001D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52" authorId="1" shapeId="0" xr:uid="{00000000-0006-0000-0100-00001E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183*1.1=201.3</t>
        </r>
      </text>
    </comment>
    <comment ref="V53" authorId="0" shapeId="0" xr:uid="{00000000-0006-0000-0100-00001F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53" authorId="1" shapeId="0" xr:uid="{00000000-0006-0000-0100-000020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183*1.1=201.3</t>
        </r>
      </text>
    </comment>
    <comment ref="V54" authorId="0" shapeId="0" xr:uid="{00000000-0006-0000-0100-000021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54" authorId="1" shapeId="0" xr:uid="{00000000-0006-0000-0100-00002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183*1.1=201.3</t>
        </r>
      </text>
    </comment>
    <comment ref="V55" authorId="0" shapeId="0" xr:uid="{00000000-0006-0000-0100-000023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55" authorId="1" shapeId="0" xr:uid="{00000000-0006-0000-0100-00002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183*1.1=201.3</t>
        </r>
      </text>
    </comment>
    <comment ref="V56" authorId="0" shapeId="0" xr:uid="{00000000-0006-0000-0100-000025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</t>
        </r>
        <r>
          <rPr>
            <b/>
            <sz val="9"/>
            <color indexed="81"/>
            <rFont val="돋움"/>
            <family val="3"/>
            <charset val="129"/>
          </rPr>
          <t>개
각</t>
        </r>
        <r>
          <rPr>
            <b/>
            <sz val="9"/>
            <color indexed="81"/>
            <rFont val="Tahoma"/>
            <family val="2"/>
          </rPr>
          <t>335</t>
        </r>
        <r>
          <rPr>
            <b/>
            <sz val="9"/>
            <color indexed="81"/>
            <rFont val="돋움"/>
            <family val="3"/>
            <charset val="129"/>
          </rPr>
          <t>원</t>
        </r>
      </text>
    </comment>
    <comment ref="X56" authorId="1" shapeId="0" xr:uid="{00000000-0006-0000-0100-00002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라벨비용추가</t>
        </r>
      </text>
    </comment>
    <comment ref="V57" authorId="0" shapeId="0" xr:uid="{00000000-0006-0000-0100-000027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57" authorId="1" shapeId="0" xr:uid="{00000000-0006-0000-0100-00002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191*1.1=210.1</t>
        </r>
      </text>
    </comment>
    <comment ref="V58" authorId="0" shapeId="0" xr:uid="{00000000-0006-0000-0100-000029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58" authorId="1" shapeId="0" xr:uid="{00000000-0006-0000-0100-00002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191*1.1=210.1</t>
        </r>
      </text>
    </comment>
    <comment ref="V59" authorId="0" shapeId="0" xr:uid="{00000000-0006-0000-0100-00002B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59" authorId="1" shapeId="0" xr:uid="{00000000-0006-0000-0100-00002C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191*1.1=210.1</t>
        </r>
      </text>
    </comment>
    <comment ref="V60" authorId="0" shapeId="0" xr:uid="{00000000-0006-0000-0100-00002D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60" authorId="1" shapeId="0" xr:uid="{00000000-0006-0000-0100-00002E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191*1.1=210.1</t>
        </r>
      </text>
    </comment>
    <comment ref="V61" authorId="0" shapeId="0" xr:uid="{00000000-0006-0000-0100-00002F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61" authorId="1" shapeId="0" xr:uid="{00000000-0006-0000-0100-000030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191*1.1=210.1</t>
        </r>
      </text>
    </comment>
    <comment ref="X62" authorId="1" shapeId="0" xr:uid="{00000000-0006-0000-0100-00003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라벨추가</t>
        </r>
      </text>
    </comment>
    <comment ref="X70" authorId="1" shapeId="0" xr:uid="{00000000-0006-0000-0100-00003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V71" authorId="0" shapeId="0" xr:uid="{00000000-0006-0000-0100-000033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330+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110</t>
        </r>
      </text>
    </comment>
    <comment ref="V72" authorId="0" shapeId="0" xr:uid="{00000000-0006-0000-0100-000034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385+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55+</t>
        </r>
        <r>
          <rPr>
            <b/>
            <sz val="9"/>
            <color indexed="81"/>
            <rFont val="돋움"/>
            <family val="3"/>
            <charset val="129"/>
          </rPr>
          <t>실</t>
        </r>
        <r>
          <rPr>
            <b/>
            <sz val="9"/>
            <color indexed="81"/>
            <rFont val="Tahoma"/>
            <family val="2"/>
          </rPr>
          <t>66</t>
        </r>
      </text>
    </comment>
    <comment ref="X72" authorId="1" shapeId="0" xr:uid="{00000000-0006-0000-0100-00003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스패츌러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태광</t>
        </r>
        <r>
          <rPr>
            <sz val="9"/>
            <color indexed="81"/>
            <rFont val="Tahoma"/>
            <family val="2"/>
          </rPr>
          <t>-&gt;</t>
        </r>
        <r>
          <rPr>
            <sz val="9"/>
            <color indexed="81"/>
            <rFont val="돋움"/>
            <family val="3"/>
            <charset val="129"/>
          </rPr>
          <t>참하이테크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변경</t>
        </r>
        <r>
          <rPr>
            <sz val="9"/>
            <color indexed="81"/>
            <rFont val="Tahoma"/>
            <family val="2"/>
          </rPr>
          <t>_2018.01.05)
50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-&gt;44</t>
        </r>
        <r>
          <rPr>
            <sz val="9"/>
            <color indexed="81"/>
            <rFont val="돋움"/>
            <family val="3"/>
            <charset val="129"/>
          </rPr>
          <t>원</t>
        </r>
      </text>
    </comment>
    <comment ref="V73" authorId="0" shapeId="0" xr:uid="{00000000-0006-0000-0100-000036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330+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110</t>
        </r>
      </text>
    </comment>
    <comment ref="W81" authorId="1" shapeId="0" xr:uid="{00000000-0006-0000-0100-00003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소수점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차이</t>
        </r>
        <r>
          <rPr>
            <sz val="9"/>
            <color indexed="81"/>
            <rFont val="Tahoma"/>
            <family val="2"/>
          </rPr>
          <t>. 135*1.1=148.5</t>
        </r>
      </text>
    </comment>
    <comment ref="V82" authorId="1" shapeId="0" xr:uid="{00000000-0006-0000-0100-000038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418+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121+</t>
        </r>
        <r>
          <rPr>
            <b/>
            <sz val="9"/>
            <color indexed="81"/>
            <rFont val="돋움"/>
            <family val="3"/>
            <charset val="129"/>
          </rPr>
          <t>실</t>
        </r>
        <r>
          <rPr>
            <b/>
            <sz val="9"/>
            <color indexed="81"/>
            <rFont val="Tahoma"/>
            <family val="2"/>
          </rPr>
          <t>49.5</t>
        </r>
      </text>
    </comment>
    <comment ref="V83" authorId="0" shapeId="0" xr:uid="{00000000-0006-0000-0100-000039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220+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88+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44</t>
        </r>
      </text>
    </comment>
    <comment ref="X83" authorId="1" shapeId="0" xr:uid="{00000000-0006-0000-0100-00003A000000}">
      <text>
        <r>
          <rPr>
            <b/>
            <sz val="9"/>
            <color indexed="81"/>
            <rFont val="Tahoma"/>
            <family val="2"/>
          </rPr>
          <t xml:space="preserve">User: 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150*1.1=165, 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15*1.1=16.5</t>
        </r>
      </text>
    </comment>
    <comment ref="V84" authorId="0" shapeId="0" xr:uid="{00000000-0006-0000-0100-00003B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330+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77+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38.5</t>
        </r>
      </text>
    </comment>
    <comment ref="X84" authorId="1" shapeId="0" xr:uid="{00000000-0006-0000-0100-00003C000000}">
      <text>
        <r>
          <rPr>
            <b/>
            <sz val="9"/>
            <color indexed="81"/>
            <rFont val="Tahoma"/>
            <family val="2"/>
          </rPr>
          <t xml:space="preserve">User: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전성분라벨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 xml:space="preserve">.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12*1.1=13.2, </t>
        </r>
        <r>
          <rPr>
            <b/>
            <sz val="9"/>
            <color indexed="81"/>
            <rFont val="돋움"/>
            <family val="3"/>
            <charset val="129"/>
          </rPr>
          <t>전성분라벨</t>
        </r>
        <r>
          <rPr>
            <b/>
            <sz val="9"/>
            <color indexed="81"/>
            <rFont val="Tahoma"/>
            <family val="2"/>
          </rPr>
          <t xml:space="preserve"> 15*1.1=16.5</t>
        </r>
      </text>
    </comment>
    <comment ref="X85" authorId="1" shapeId="0" xr:uid="{00000000-0006-0000-0100-00003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스패츌러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태광</t>
        </r>
        <r>
          <rPr>
            <sz val="9"/>
            <color indexed="81"/>
            <rFont val="Tahoma"/>
            <family val="2"/>
          </rPr>
          <t>-&gt;</t>
        </r>
        <r>
          <rPr>
            <sz val="9"/>
            <color indexed="81"/>
            <rFont val="돋움"/>
            <family val="3"/>
            <charset val="129"/>
          </rPr>
          <t>참하이테크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변경</t>
        </r>
        <r>
          <rPr>
            <sz val="9"/>
            <color indexed="81"/>
            <rFont val="Tahoma"/>
            <family val="2"/>
          </rPr>
          <t>_2018.01.05)
50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-&gt;44</t>
        </r>
        <r>
          <rPr>
            <sz val="9"/>
            <color indexed="81"/>
            <rFont val="돋움"/>
            <family val="3"/>
            <charset val="129"/>
          </rPr>
          <t>원</t>
        </r>
      </text>
    </comment>
    <comment ref="V91" authorId="0" shapeId="0" xr:uid="{00000000-0006-0000-0100-00003E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330+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38.5+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77</t>
        </r>
      </text>
    </comment>
    <comment ref="W91" authorId="1" shapeId="0" xr:uid="{00000000-0006-0000-0100-00003F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코스필드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견적</t>
        </r>
        <r>
          <rPr>
            <sz val="9"/>
            <color indexed="81"/>
            <rFont val="Tahoma"/>
            <family val="2"/>
          </rPr>
          <t xml:space="preserve"> 5</t>
        </r>
        <r>
          <rPr>
            <sz val="9"/>
            <color indexed="81"/>
            <rFont val="돋움"/>
            <family val="3"/>
            <charset val="129"/>
          </rPr>
          <t>천개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기준</t>
        </r>
      </text>
    </comment>
    <comment ref="V92" authorId="0" shapeId="0" xr:uid="{00000000-0006-0000-0100-000040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319+</t>
        </r>
        <r>
          <rPr>
            <b/>
            <sz val="9"/>
            <color indexed="81"/>
            <rFont val="돋움"/>
            <family val="3"/>
            <charset val="129"/>
          </rPr>
          <t>펌프</t>
        </r>
        <r>
          <rPr>
            <b/>
            <sz val="9"/>
            <color indexed="81"/>
            <rFont val="Tahoma"/>
            <family val="2"/>
          </rPr>
          <t>308</t>
        </r>
      </text>
    </comment>
    <comment ref="V93" authorId="0" shapeId="0" xr:uid="{00000000-0006-0000-0100-000041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330+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38.5+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77</t>
        </r>
      </text>
    </comment>
    <comment ref="V95" authorId="0" shapeId="0" xr:uid="{00000000-0006-0000-0100-000042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407+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88+</t>
        </r>
        <r>
          <rPr>
            <b/>
            <sz val="9"/>
            <color indexed="81"/>
            <rFont val="돋움"/>
            <family val="3"/>
            <charset val="129"/>
          </rPr>
          <t>실</t>
        </r>
        <r>
          <rPr>
            <b/>
            <sz val="9"/>
            <color indexed="81"/>
            <rFont val="Tahoma"/>
            <family val="2"/>
          </rPr>
          <t>66</t>
        </r>
      </text>
    </comment>
    <comment ref="X97" authorId="1" shapeId="0" xr:uid="{00000000-0006-0000-0100-00004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조양플라스틱</t>
        </r>
      </text>
    </comment>
    <comment ref="W99" authorId="0" shapeId="0" xr:uid="{00000000-0006-0000-0100-000044000000}">
      <text>
        <r>
          <rPr>
            <b/>
            <sz val="9"/>
            <color indexed="81"/>
            <rFont val="돋움"/>
            <family val="3"/>
            <charset val="129"/>
          </rPr>
          <t>단상자</t>
        </r>
        <r>
          <rPr>
            <b/>
            <sz val="9"/>
            <color indexed="81"/>
            <rFont val="Tahoma"/>
            <family val="2"/>
          </rPr>
          <t>297+</t>
        </r>
        <r>
          <rPr>
            <b/>
            <sz val="9"/>
            <color indexed="81"/>
            <rFont val="돋움"/>
            <family val="3"/>
            <charset val="129"/>
          </rPr>
          <t>인서트</t>
        </r>
        <r>
          <rPr>
            <b/>
            <sz val="9"/>
            <color indexed="81"/>
            <rFont val="Tahoma"/>
            <family val="2"/>
          </rPr>
          <t>53</t>
        </r>
      </text>
    </comment>
    <comment ref="X104" authorId="1" shapeId="0" xr:uid="{00000000-0006-0000-0100-00004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스패츌러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V108" authorId="0" shapeId="0" xr:uid="{00000000-0006-0000-0100-000046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297+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44+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165</t>
        </r>
      </text>
    </comment>
    <comment ref="X108" authorId="1" shapeId="0" xr:uid="{00000000-0006-0000-0100-000047000000}">
      <text>
        <r>
          <rPr>
            <b/>
            <sz val="9"/>
            <color indexed="81"/>
            <rFont val="Tahoma"/>
            <family val="2"/>
          </rPr>
          <t xml:space="preserve">User: 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 xml:space="preserve">,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130*1.1=143, 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17*1.1=18.7</t>
        </r>
      </text>
    </comment>
    <comment ref="X109" authorId="1" shapeId="0" xr:uid="{00000000-0006-0000-0100-00004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110" authorId="1" shapeId="0" xr:uid="{00000000-0006-0000-0100-000049000000}">
      <text>
        <r>
          <rPr>
            <sz val="9"/>
            <color indexed="81"/>
            <rFont val="돋움"/>
            <family val="3"/>
            <charset val="129"/>
          </rPr>
          <t>라벨추가</t>
        </r>
        <r>
          <rPr>
            <sz val="9"/>
            <color indexed="81"/>
            <rFont val="Tahoma"/>
            <family val="2"/>
          </rPr>
          <t xml:space="preserve"> 140*1.1=154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앞</t>
        </r>
        <r>
          <rPr>
            <sz val="9"/>
            <color indexed="81"/>
            <rFont val="Tahoma"/>
            <family val="2"/>
          </rPr>
          <t>77(</t>
        </r>
        <r>
          <rPr>
            <sz val="9"/>
            <color indexed="81"/>
            <rFont val="돋움"/>
            <family val="3"/>
            <charset val="129"/>
          </rPr>
          <t>흰색바탕</t>
        </r>
        <r>
          <rPr>
            <sz val="9"/>
            <color indexed="81"/>
            <rFont val="Tahoma"/>
            <family val="2"/>
          </rPr>
          <t xml:space="preserve">), </t>
        </r>
        <r>
          <rPr>
            <sz val="9"/>
            <color indexed="81"/>
            <rFont val="돋움"/>
            <family val="3"/>
            <charset val="129"/>
          </rPr>
          <t>뒤</t>
        </r>
        <r>
          <rPr>
            <sz val="9"/>
            <color indexed="81"/>
            <rFont val="Tahoma"/>
            <family val="2"/>
          </rPr>
          <t>77(</t>
        </r>
        <r>
          <rPr>
            <sz val="9"/>
            <color indexed="81"/>
            <rFont val="돋움"/>
            <family val="3"/>
            <charset val="129"/>
          </rPr>
          <t>투명</t>
        </r>
        <r>
          <rPr>
            <sz val="9"/>
            <color indexed="81"/>
            <rFont val="Tahoma"/>
            <family val="2"/>
          </rPr>
          <t xml:space="preserve">), </t>
        </r>
        <r>
          <rPr>
            <sz val="9"/>
            <color indexed="81"/>
            <rFont val="돋움"/>
            <family val="3"/>
            <charset val="129"/>
          </rPr>
          <t>봉합라벨</t>
        </r>
        <r>
          <rPr>
            <sz val="9"/>
            <color indexed="81"/>
            <rFont val="Tahoma"/>
            <family val="2"/>
          </rPr>
          <t xml:space="preserve"> 5*1.1=5.5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111" authorId="1" shapeId="0" xr:uid="{00000000-0006-0000-0100-00004A000000}">
      <text>
        <r>
          <rPr>
            <b/>
            <sz val="9"/>
            <color indexed="81"/>
            <rFont val="Tahoma"/>
            <family val="2"/>
          </rPr>
          <t xml:space="preserve">User: 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스패츌러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90*1.1=99, </t>
        </r>
        <r>
          <rPr>
            <b/>
            <sz val="9"/>
            <color indexed="81"/>
            <rFont val="돋움"/>
            <family val="3"/>
            <charset val="129"/>
          </rPr>
          <t>스패출러</t>
        </r>
        <r>
          <rPr>
            <b/>
            <sz val="9"/>
            <color indexed="81"/>
            <rFont val="Tahoma"/>
            <family val="2"/>
          </rPr>
          <t xml:space="preserve"> 44</t>
        </r>
      </text>
    </comment>
    <comment ref="V112" authorId="0" shapeId="0" xr:uid="{00000000-0006-0000-0100-00004B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396+</t>
        </r>
        <r>
          <rPr>
            <b/>
            <sz val="9"/>
            <color indexed="81"/>
            <rFont val="돋움"/>
            <family val="3"/>
            <charset val="129"/>
          </rPr>
          <t>펌프</t>
        </r>
        <r>
          <rPr>
            <b/>
            <sz val="9"/>
            <color indexed="81"/>
            <rFont val="Tahoma"/>
            <family val="2"/>
          </rPr>
          <t>418</t>
        </r>
      </text>
    </comment>
    <comment ref="X112" authorId="1" shapeId="0" xr:uid="{00000000-0006-0000-0100-00004C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 xml:space="preserve"> 130*1.1=143</t>
        </r>
      </text>
    </comment>
    <comment ref="V113" authorId="0" shapeId="0" xr:uid="{00000000-0006-0000-0100-00004D000000}">
      <text>
        <r>
          <rPr>
            <b/>
            <sz val="9"/>
            <color indexed="81"/>
            <rFont val="돋움"/>
            <family val="3"/>
            <charset val="129"/>
          </rPr>
          <t>안느턴키</t>
        </r>
      </text>
    </comment>
    <comment ref="V114" authorId="0" shapeId="0" xr:uid="{00000000-0006-0000-0100-00004E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203.5+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44+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71.5</t>
        </r>
      </text>
    </comment>
    <comment ref="X114" authorId="1" shapeId="0" xr:uid="{00000000-0006-0000-0100-00004F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
라벨</t>
        </r>
        <r>
          <rPr>
            <b/>
            <sz val="9"/>
            <color indexed="81"/>
            <rFont val="Tahoma"/>
            <family val="2"/>
          </rPr>
          <t xml:space="preserve"> 110*1.1=121,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17</t>
        </r>
        <r>
          <rPr>
            <b/>
            <sz val="9"/>
            <color indexed="81"/>
            <rFont val="돋움"/>
            <family val="3"/>
            <charset val="129"/>
          </rPr>
          <t>원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부가세포함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V115" authorId="0" shapeId="0" xr:uid="{00000000-0006-0000-0100-000050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203.5+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44+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71.5</t>
        </r>
      </text>
    </comment>
    <comment ref="X115" authorId="1" shapeId="0" xr:uid="{00000000-0006-0000-0100-00005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
라벨</t>
        </r>
        <r>
          <rPr>
            <b/>
            <sz val="9"/>
            <color indexed="81"/>
            <rFont val="Tahoma"/>
            <family val="2"/>
          </rPr>
          <t xml:space="preserve"> 110*1.1=121,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17</t>
        </r>
        <r>
          <rPr>
            <b/>
            <sz val="9"/>
            <color indexed="81"/>
            <rFont val="돋움"/>
            <family val="3"/>
            <charset val="129"/>
          </rPr>
          <t>원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부가세포함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V116" authorId="0" shapeId="0" xr:uid="{00000000-0006-0000-0100-000052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203.5+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44+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71.5</t>
        </r>
      </text>
    </comment>
    <comment ref="X116" authorId="1" shapeId="0" xr:uid="{00000000-0006-0000-0100-00005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
라벨</t>
        </r>
        <r>
          <rPr>
            <b/>
            <sz val="9"/>
            <color indexed="81"/>
            <rFont val="Tahoma"/>
            <family val="2"/>
          </rPr>
          <t xml:space="preserve"> 110*1.1=121,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17</t>
        </r>
        <r>
          <rPr>
            <b/>
            <sz val="9"/>
            <color indexed="81"/>
            <rFont val="돋움"/>
            <family val="3"/>
            <charset val="129"/>
          </rPr>
          <t>원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부가세포함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V117" authorId="0" shapeId="0" xr:uid="{00000000-0006-0000-0100-000054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203.5+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44+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71.5</t>
        </r>
      </text>
    </comment>
    <comment ref="X117" authorId="1" shapeId="0" xr:uid="{00000000-0006-0000-0100-00005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
라벨</t>
        </r>
        <r>
          <rPr>
            <b/>
            <sz val="9"/>
            <color indexed="81"/>
            <rFont val="Tahoma"/>
            <family val="2"/>
          </rPr>
          <t xml:space="preserve"> 110*1.1=121,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17</t>
        </r>
        <r>
          <rPr>
            <b/>
            <sz val="9"/>
            <color indexed="81"/>
            <rFont val="돋움"/>
            <family val="3"/>
            <charset val="129"/>
          </rPr>
          <t>원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부가세포함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V118" authorId="0" shapeId="0" xr:uid="{00000000-0006-0000-0100-000056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203.5+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44+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71.5</t>
        </r>
      </text>
    </comment>
    <comment ref="X118" authorId="1" shapeId="0" xr:uid="{00000000-0006-0000-0100-00005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
라벨</t>
        </r>
        <r>
          <rPr>
            <b/>
            <sz val="9"/>
            <color indexed="81"/>
            <rFont val="Tahoma"/>
            <family val="2"/>
          </rPr>
          <t xml:space="preserve"> 110*1.1=121,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17</t>
        </r>
        <r>
          <rPr>
            <b/>
            <sz val="9"/>
            <color indexed="81"/>
            <rFont val="돋움"/>
            <family val="3"/>
            <charset val="129"/>
          </rPr>
          <t>원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부가세포함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X122" authorId="1" shapeId="0" xr:uid="{00000000-0006-0000-0100-00005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돋움"/>
            <family val="3"/>
            <charset val="129"/>
          </rPr>
          <t>라벨추가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상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하라벨</t>
        </r>
        <r>
          <rPr>
            <sz val="9"/>
            <color indexed="81"/>
            <rFont val="Tahoma"/>
            <family val="2"/>
          </rPr>
          <t xml:space="preserve"> 140*1.1=154</t>
        </r>
      </text>
    </comment>
    <comment ref="X123" authorId="1" shapeId="0" xr:uid="{00000000-0006-0000-0100-000059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돋움"/>
            <family val="3"/>
            <charset val="129"/>
          </rPr>
          <t>라벨추가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상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하라벨</t>
        </r>
        <r>
          <rPr>
            <sz val="9"/>
            <color indexed="81"/>
            <rFont val="Tahoma"/>
            <family val="2"/>
          </rPr>
          <t xml:space="preserve"> 140*1.1=154</t>
        </r>
      </text>
    </comment>
    <comment ref="X124" authorId="1" shapeId="0" xr:uid="{00000000-0006-0000-0100-00005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돋움"/>
            <family val="3"/>
            <charset val="129"/>
          </rPr>
          <t>라벨추가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상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하라벨</t>
        </r>
        <r>
          <rPr>
            <sz val="9"/>
            <color indexed="81"/>
            <rFont val="Tahoma"/>
            <family val="2"/>
          </rPr>
          <t xml:space="preserve"> 140*1.1=154</t>
        </r>
      </text>
    </comment>
    <comment ref="X127" authorId="1" shapeId="0" xr:uid="{00000000-0006-0000-0100-00005B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 xml:space="preserve"> 13*1.1=14.3</t>
        </r>
      </text>
    </comment>
    <comment ref="X128" authorId="1" shapeId="0" xr:uid="{00000000-0006-0000-0100-00005C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 xml:space="preserve"> 13*1.1=14.3</t>
        </r>
      </text>
    </comment>
    <comment ref="X129" authorId="1" shapeId="0" xr:uid="{00000000-0006-0000-0100-00005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2</t>
        </r>
        <r>
          <rPr>
            <b/>
            <sz val="9"/>
            <color indexed="81"/>
            <rFont val="돋움"/>
            <family val="3"/>
            <charset val="129"/>
          </rPr>
          <t>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 xml:space="preserve"> 200*1.1=220, </t>
        </r>
        <r>
          <rPr>
            <b/>
            <sz val="9"/>
            <color indexed="81"/>
            <rFont val="돋움"/>
            <family val="3"/>
            <charset val="129"/>
          </rPr>
          <t>윗라벨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옆라벨</t>
        </r>
        <r>
          <rPr>
            <b/>
            <sz val="9"/>
            <color indexed="81"/>
            <rFont val="Tahoma"/>
            <family val="2"/>
          </rPr>
          <t xml:space="preserve">.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F129" authorId="0" shapeId="0" xr:uid="{00000000-0006-0000-0100-00005E000000}">
      <text>
        <r>
          <rPr>
            <b/>
            <sz val="9"/>
            <color indexed="81"/>
            <rFont val="돋움"/>
            <family val="3"/>
            <charset val="129"/>
          </rPr>
          <t>이영준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용기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상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돋움"/>
            <family val="3"/>
            <charset val="129"/>
          </rPr>
          <t>하짝</t>
        </r>
        <r>
          <rPr>
            <sz val="9"/>
            <color indexed="81"/>
            <rFont val="Tahoma"/>
            <family val="2"/>
          </rPr>
          <t>)+</t>
        </r>
        <r>
          <rPr>
            <sz val="9"/>
            <color indexed="81"/>
            <rFont val="돋움"/>
            <family val="3"/>
            <charset val="129"/>
          </rPr>
          <t>실링지</t>
        </r>
        <r>
          <rPr>
            <sz val="9"/>
            <color indexed="81"/>
            <rFont val="Tahoma"/>
            <family val="2"/>
          </rPr>
          <t>+</t>
        </r>
        <r>
          <rPr>
            <sz val="9"/>
            <color indexed="81"/>
            <rFont val="돋움"/>
            <family val="3"/>
            <charset val="129"/>
          </rPr>
          <t>부직포</t>
        </r>
      </text>
    </comment>
    <comment ref="AL129" authorId="0" shapeId="0" xr:uid="{00000000-0006-0000-0100-00005F000000}">
      <text>
        <r>
          <rPr>
            <b/>
            <sz val="9"/>
            <color indexed="81"/>
            <rFont val="돋움"/>
            <family val="3"/>
            <charset val="129"/>
          </rPr>
          <t>이영준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80 + </t>
        </r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120</t>
        </r>
      </text>
    </comment>
    <comment ref="AR129" authorId="0" shapeId="0" xr:uid="{00000000-0006-0000-0100-000060000000}">
      <text>
        <r>
          <rPr>
            <b/>
            <sz val="9"/>
            <color indexed="81"/>
            <rFont val="돋움"/>
            <family val="3"/>
            <charset val="129"/>
          </rPr>
          <t>단가인하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협상</t>
        </r>
        <r>
          <rPr>
            <b/>
            <sz val="9"/>
            <color indexed="81"/>
            <rFont val="Tahoma"/>
            <family val="2"/>
          </rPr>
          <t>:
-5</t>
        </r>
        <r>
          <rPr>
            <b/>
            <sz val="9"/>
            <color indexed="81"/>
            <rFont val="돋움"/>
            <family val="3"/>
            <charset val="129"/>
          </rPr>
          <t>원</t>
        </r>
        <r>
          <rPr>
            <b/>
            <sz val="9"/>
            <color indexed="81"/>
            <rFont val="Tahoma"/>
            <family val="2"/>
          </rPr>
          <t>(VAT</t>
        </r>
        <r>
          <rPr>
            <b/>
            <sz val="9"/>
            <color indexed="81"/>
            <rFont val="돋움"/>
            <family val="3"/>
            <charset val="129"/>
          </rPr>
          <t>포함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V130" authorId="0" shapeId="0" xr:uid="{00000000-0006-0000-0100-000061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330+</t>
        </r>
        <r>
          <rPr>
            <b/>
            <sz val="9"/>
            <color indexed="81"/>
            <rFont val="돋움"/>
            <family val="3"/>
            <charset val="129"/>
          </rPr>
          <t>펌프</t>
        </r>
        <r>
          <rPr>
            <b/>
            <sz val="9"/>
            <color indexed="81"/>
            <rFont val="Tahoma"/>
            <family val="2"/>
          </rPr>
          <t>363</t>
        </r>
      </text>
    </comment>
    <comment ref="X130" authorId="1" shapeId="0" xr:uid="{00000000-0006-0000-0100-00006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
라벨</t>
        </r>
        <r>
          <rPr>
            <b/>
            <sz val="9"/>
            <color indexed="81"/>
            <rFont val="Tahoma"/>
            <family val="2"/>
          </rPr>
          <t xml:space="preserve"> 140*1.1=154,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11*1.1=12.1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131" authorId="0" shapeId="0" xr:uid="{00000000-0006-0000-0100-000063000000}">
      <text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베스트솔류선턴키</t>
        </r>
        <r>
          <rPr>
            <b/>
            <sz val="9"/>
            <color indexed="81"/>
            <rFont val="Tahoma"/>
            <family val="2"/>
          </rPr>
          <t>)10*1.1</t>
        </r>
      </text>
    </comment>
    <comment ref="X132" authorId="1" shapeId="0" xr:uid="{00000000-0006-0000-0100-00006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>, 150*1.1=165</t>
        </r>
      </text>
    </comment>
    <comment ref="X133" authorId="1" shapeId="0" xr:uid="{00000000-0006-0000-0100-00006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>. 14*1.1=15.4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134" authorId="1" shapeId="0" xr:uid="{00000000-0006-0000-0100-00006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>, 150*1.1=165</t>
        </r>
      </text>
    </comment>
    <comment ref="X135" authorId="1" shapeId="0" xr:uid="{00000000-0006-0000-0100-00006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>, 130*1.1=143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136" authorId="1" shapeId="0" xr:uid="{00000000-0006-0000-0100-00006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>, 130*1.1=143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137" authorId="1" shapeId="0" xr:uid="{00000000-0006-0000-0100-000069000000}">
      <text>
        <r>
          <rPr>
            <b/>
            <sz val="9"/>
            <color indexed="81"/>
            <rFont val="돋움"/>
            <family val="3"/>
            <charset val="129"/>
          </rPr>
          <t>라벨
전면라벨</t>
        </r>
        <r>
          <rPr>
            <b/>
            <sz val="9"/>
            <color indexed="81"/>
            <rFont val="Tahoma"/>
            <family val="2"/>
          </rPr>
          <t xml:space="preserve">90*1.1
</t>
        </r>
        <r>
          <rPr>
            <b/>
            <sz val="9"/>
            <color indexed="81"/>
            <rFont val="돋움"/>
            <family val="3"/>
            <charset val="129"/>
          </rPr>
          <t>후면라벨</t>
        </r>
        <r>
          <rPr>
            <b/>
            <sz val="9"/>
            <color indexed="81"/>
            <rFont val="Tahoma"/>
            <family val="2"/>
          </rPr>
          <t>90*1.1</t>
        </r>
      </text>
    </comment>
    <comment ref="X138" authorId="2" shapeId="0" xr:uid="{00000000-0006-0000-0100-00006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HT</t>
        </r>
        <r>
          <rPr>
            <sz val="9"/>
            <color indexed="81"/>
            <rFont val="돋움"/>
            <family val="3"/>
            <charset val="129"/>
          </rPr>
          <t>작업비</t>
        </r>
      </text>
    </comment>
    <comment ref="X139" authorId="0" shapeId="0" xr:uid="{00000000-0006-0000-0100-00006B000000}">
      <text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>220</t>
        </r>
      </text>
    </comment>
    <comment ref="W143" authorId="0" shapeId="0" xr:uid="{00000000-0006-0000-0100-00006C000000}">
      <text>
        <r>
          <rPr>
            <b/>
            <sz val="9"/>
            <color indexed="81"/>
            <rFont val="Tahoma"/>
            <family val="2"/>
          </rPr>
          <t>1000</t>
        </r>
        <r>
          <rPr>
            <b/>
            <sz val="9"/>
            <color indexed="81"/>
            <rFont val="돋움"/>
            <family val="3"/>
            <charset val="129"/>
          </rPr>
          <t xml:space="preserve">개진행시
</t>
        </r>
        <r>
          <rPr>
            <b/>
            <sz val="9"/>
            <color indexed="81"/>
            <rFont val="Tahoma"/>
            <family val="2"/>
          </rPr>
          <t>:155*1.1</t>
        </r>
      </text>
    </comment>
    <comment ref="X144" authorId="1" shapeId="0" xr:uid="{00000000-0006-0000-0100-00006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3</t>
        </r>
        <r>
          <rPr>
            <b/>
            <sz val="9"/>
            <color indexed="81"/>
            <rFont val="돋움"/>
            <family val="3"/>
            <charset val="129"/>
          </rPr>
          <t>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국문라벨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캡라벨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옆라벨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145" authorId="1" shapeId="0" xr:uid="{00000000-0006-0000-0100-00006E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>. 5</t>
        </r>
        <r>
          <rPr>
            <b/>
            <sz val="9"/>
            <color indexed="81"/>
            <rFont val="돋움"/>
            <family val="3"/>
            <charset val="129"/>
          </rPr>
          <t>천개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견적</t>
        </r>
        <r>
          <rPr>
            <b/>
            <sz val="9"/>
            <color indexed="81"/>
            <rFont val="Tahoma"/>
            <family val="2"/>
          </rPr>
          <t xml:space="preserve"> 100*1.1=110</t>
        </r>
      </text>
    </comment>
    <comment ref="W146" authorId="0" shapeId="0" xr:uid="{00000000-0006-0000-0100-00006F000000}">
      <text>
        <r>
          <rPr>
            <b/>
            <sz val="9"/>
            <color indexed="81"/>
            <rFont val="돋움"/>
            <family val="3"/>
            <charset val="129"/>
          </rPr>
          <t>단상자</t>
        </r>
        <r>
          <rPr>
            <b/>
            <sz val="9"/>
            <color indexed="81"/>
            <rFont val="Tahoma"/>
            <family val="2"/>
          </rPr>
          <t>396+</t>
        </r>
        <r>
          <rPr>
            <b/>
            <sz val="9"/>
            <color indexed="81"/>
            <rFont val="돋움"/>
            <family val="3"/>
            <charset val="129"/>
          </rPr>
          <t>인서트</t>
        </r>
        <r>
          <rPr>
            <b/>
            <sz val="9"/>
            <color indexed="81"/>
            <rFont val="Tahoma"/>
            <family val="2"/>
          </rPr>
          <t>127</t>
        </r>
      </text>
    </comment>
    <comment ref="V148" authorId="0" shapeId="0" xr:uid="{00000000-0006-0000-0100-000070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 xml:space="preserve">750*1.1
</t>
        </r>
        <r>
          <rPr>
            <b/>
            <sz val="9"/>
            <color indexed="81"/>
            <rFont val="돋움"/>
            <family val="3"/>
            <charset val="129"/>
          </rPr>
          <t>스푼</t>
        </r>
        <r>
          <rPr>
            <b/>
            <sz val="9"/>
            <color indexed="81"/>
            <rFont val="Tahoma"/>
            <family val="2"/>
          </rPr>
          <t xml:space="preserve">50*1.1
</t>
        </r>
        <r>
          <rPr>
            <b/>
            <sz val="9"/>
            <color indexed="81"/>
            <rFont val="돋움"/>
            <family val="3"/>
            <charset val="129"/>
          </rPr>
          <t>카톤</t>
        </r>
        <r>
          <rPr>
            <b/>
            <sz val="9"/>
            <color indexed="81"/>
            <rFont val="Tahoma"/>
            <family val="2"/>
          </rPr>
          <t>10*1.1</t>
        </r>
      </text>
    </comment>
    <comment ref="AF148" authorId="0" shapeId="0" xr:uid="{00000000-0006-0000-0100-000071000000}">
      <text>
        <r>
          <rPr>
            <b/>
            <sz val="9"/>
            <color indexed="81"/>
            <rFont val="돋움"/>
            <family val="3"/>
            <charset val="129"/>
          </rPr>
          <t>이영준</t>
        </r>
        <r>
          <rPr>
            <b/>
            <sz val="9"/>
            <color indexed="81"/>
            <rFont val="Tahoma"/>
            <family val="2"/>
          </rPr>
          <t xml:space="preserve">: VAT </t>
        </r>
        <r>
          <rPr>
            <b/>
            <sz val="9"/>
            <color indexed="81"/>
            <rFont val="돋움"/>
            <family val="3"/>
            <charset val="129"/>
          </rPr>
          <t>별도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+</t>
        </r>
        <r>
          <rPr>
            <b/>
            <sz val="9"/>
            <color indexed="81"/>
            <rFont val="돋움"/>
            <family val="3"/>
            <charset val="129"/>
          </rPr>
          <t>리드</t>
        </r>
        <r>
          <rPr>
            <b/>
            <sz val="9"/>
            <color indexed="81"/>
            <rFont val="Tahoma"/>
            <family val="2"/>
          </rPr>
          <t xml:space="preserve"> = 750
</t>
        </r>
        <r>
          <rPr>
            <b/>
            <sz val="9"/>
            <color indexed="81"/>
            <rFont val="돋움"/>
            <family val="3"/>
            <charset val="129"/>
          </rPr>
          <t>스패츌러</t>
        </r>
        <r>
          <rPr>
            <b/>
            <sz val="9"/>
            <color indexed="81"/>
            <rFont val="Tahoma"/>
            <family val="2"/>
          </rPr>
          <t xml:space="preserve"> : 50</t>
        </r>
      </text>
    </comment>
    <comment ref="X149" authorId="1" shapeId="0" xr:uid="{00000000-0006-0000-0100-00007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 xml:space="preserve"> 60*1.1=66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150" authorId="1" shapeId="0" xr:uid="{00000000-0006-0000-0100-00007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 xml:space="preserve"> 60*1.1=66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W151" authorId="1" shapeId="0" xr:uid="{00000000-0006-0000-0100-00007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소수점차이</t>
        </r>
        <r>
          <rPr>
            <sz val="9"/>
            <color indexed="81"/>
            <rFont val="Tahoma"/>
            <family val="2"/>
          </rPr>
          <t xml:space="preserve"> 156*1.1=171.6</t>
        </r>
      </text>
    </comment>
    <comment ref="V164" authorId="0" shapeId="0" xr:uid="{00000000-0006-0000-0100-000075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308+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44+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88</t>
        </r>
      </text>
    </comment>
    <comment ref="X164" authorId="0" shapeId="0" xr:uid="{00000000-0006-0000-0100-000076000000}">
      <text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198
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>19</t>
        </r>
      </text>
    </comment>
    <comment ref="X165" authorId="0" shapeId="0" xr:uid="{00000000-0006-0000-0100-000077000000}">
      <text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베스트솔류선턴키</t>
        </r>
        <r>
          <rPr>
            <b/>
            <sz val="9"/>
            <color indexed="81"/>
            <rFont val="Tahoma"/>
            <family val="2"/>
          </rPr>
          <t xml:space="preserve">)10*1.1
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385
</t>
        </r>
        <r>
          <rPr>
            <b/>
            <sz val="9"/>
            <color indexed="81"/>
            <rFont val="돋움"/>
            <family val="3"/>
            <charset val="129"/>
          </rPr>
          <t>사은품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패드</t>
        </r>
        <r>
          <rPr>
            <b/>
            <sz val="9"/>
            <color indexed="81"/>
            <rFont val="Tahoma"/>
            <family val="2"/>
          </rPr>
          <t>)820</t>
        </r>
      </text>
    </comment>
    <comment ref="V166" authorId="0" shapeId="0" xr:uid="{00000000-0006-0000-0100-000078000000}">
      <text>
        <r>
          <rPr>
            <b/>
            <sz val="9"/>
            <color indexed="81"/>
            <rFont val="돋움"/>
            <family val="3"/>
            <charset val="129"/>
          </rPr>
          <t>내장크림튜브</t>
        </r>
      </text>
    </comment>
    <comment ref="W166" authorId="0" shapeId="0" xr:uid="{00000000-0006-0000-0100-000079000000}">
      <text>
        <r>
          <rPr>
            <b/>
            <sz val="9"/>
            <color indexed="81"/>
            <rFont val="돋움"/>
            <family val="3"/>
            <charset val="129"/>
          </rPr>
          <t>기본단상자</t>
        </r>
        <r>
          <rPr>
            <b/>
            <sz val="9"/>
            <color indexed="81"/>
            <rFont val="Tahoma"/>
            <family val="2"/>
          </rPr>
          <t xml:space="preserve">473(171212)
</t>
        </r>
        <r>
          <rPr>
            <b/>
            <sz val="9"/>
            <color indexed="81"/>
            <rFont val="돋움"/>
            <family val="3"/>
            <charset val="129"/>
          </rPr>
          <t>세트단상자</t>
        </r>
        <r>
          <rPr>
            <b/>
            <sz val="9"/>
            <color indexed="81"/>
            <rFont val="Tahoma"/>
            <family val="2"/>
          </rPr>
          <t>374</t>
        </r>
      </text>
    </comment>
    <comment ref="X166" authorId="0" shapeId="0" xr:uid="{00000000-0006-0000-0100-00007A000000}">
      <text>
        <r>
          <rPr>
            <b/>
            <sz val="9"/>
            <color indexed="81"/>
            <rFont val="Tahoma"/>
            <family val="2"/>
          </rPr>
          <t>pop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88
</t>
        </r>
        <r>
          <rPr>
            <b/>
            <sz val="9"/>
            <color indexed="81"/>
            <rFont val="돋움"/>
            <family val="3"/>
            <charset val="129"/>
          </rPr>
          <t>내장크림내용물</t>
        </r>
        <r>
          <rPr>
            <b/>
            <sz val="9"/>
            <color indexed="81"/>
            <rFont val="Tahoma"/>
            <family val="2"/>
          </rPr>
          <t xml:space="preserve">847
3D </t>
        </r>
        <r>
          <rPr>
            <b/>
            <sz val="9"/>
            <color indexed="81"/>
            <rFont val="돋움"/>
            <family val="3"/>
            <charset val="129"/>
          </rPr>
          <t>롤러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11</t>
        </r>
      </text>
    </comment>
    <comment ref="X168" authorId="1" shapeId="0" xr:uid="{00000000-0006-0000-0100-00007B000000}">
      <text>
        <r>
          <rPr>
            <sz val="9"/>
            <color indexed="81"/>
            <rFont val="돋움"/>
            <family val="3"/>
            <charset val="129"/>
          </rPr>
          <t>이중라벨</t>
        </r>
        <r>
          <rPr>
            <sz val="9"/>
            <color indexed="81"/>
            <rFont val="Tahoma"/>
            <family val="2"/>
          </rPr>
          <t>182+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 xml:space="preserve"> 13*1.1=14.3</t>
        </r>
      </text>
    </comment>
    <comment ref="X169" authorId="1" shapeId="0" xr:uid="{00000000-0006-0000-0100-00007C000000}">
      <text>
        <r>
          <rPr>
            <sz val="9"/>
            <color indexed="81"/>
            <rFont val="돋움"/>
            <family val="3"/>
            <charset val="129"/>
          </rPr>
          <t>이중라벨</t>
        </r>
        <r>
          <rPr>
            <sz val="9"/>
            <color indexed="81"/>
            <rFont val="Tahoma"/>
            <family val="2"/>
          </rPr>
          <t>275+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 xml:space="preserve"> 13*1.1=14.3</t>
        </r>
      </text>
    </comment>
    <comment ref="W170" authorId="1" shapeId="0" xr:uid="{00000000-0006-0000-0100-00007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소수점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차이</t>
        </r>
        <r>
          <rPr>
            <sz val="9"/>
            <color indexed="81"/>
            <rFont val="Tahoma"/>
            <family val="2"/>
          </rPr>
          <t>. 135*1.1=148.5</t>
        </r>
      </text>
    </comment>
    <comment ref="V171" authorId="1" shapeId="0" xr:uid="{00000000-0006-0000-0100-00007E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418+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121+</t>
        </r>
        <r>
          <rPr>
            <b/>
            <sz val="9"/>
            <color indexed="81"/>
            <rFont val="돋움"/>
            <family val="3"/>
            <charset val="129"/>
          </rPr>
          <t>실</t>
        </r>
        <r>
          <rPr>
            <b/>
            <sz val="9"/>
            <color indexed="81"/>
            <rFont val="Tahoma"/>
            <family val="2"/>
          </rPr>
          <t>49.5</t>
        </r>
      </text>
    </comment>
    <comment ref="X172" authorId="2" shapeId="0" xr:uid="{00000000-0006-0000-0100-00007F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: 5.2
</t>
        </r>
      </text>
    </comment>
    <comment ref="X173" authorId="2" shapeId="0" xr:uid="{00000000-0006-0000-0100-000080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: 5.2
</t>
        </r>
      </text>
    </comment>
    <comment ref="V184" authorId="2" shapeId="0" xr:uid="{00000000-0006-0000-0100-000081000000}">
      <text>
        <r>
          <rPr>
            <b/>
            <sz val="9"/>
            <color indexed="81"/>
            <rFont val="Tahoma"/>
            <family val="2"/>
          </rPr>
          <t>user:
270(</t>
        </r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)+170(</t>
        </r>
        <r>
          <rPr>
            <b/>
            <sz val="9"/>
            <color indexed="81"/>
            <rFont val="돋움"/>
            <family val="3"/>
            <charset val="129"/>
          </rPr>
          <t>펌프</t>
        </r>
        <r>
          <rPr>
            <b/>
            <sz val="9"/>
            <color indexed="81"/>
            <rFont val="Tahoma"/>
            <family val="2"/>
          </rPr>
          <t xml:space="preserve">)
</t>
        </r>
      </text>
    </comment>
    <comment ref="V185" authorId="2" shapeId="0" xr:uid="{00000000-0006-0000-0100-000082000000}">
      <text>
        <r>
          <rPr>
            <b/>
            <sz val="9"/>
            <color indexed="81"/>
            <rFont val="Tahoma"/>
            <family val="2"/>
          </rPr>
          <t>user:
270(</t>
        </r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)+170(</t>
        </r>
        <r>
          <rPr>
            <b/>
            <sz val="9"/>
            <color indexed="81"/>
            <rFont val="돋움"/>
            <family val="3"/>
            <charset val="129"/>
          </rPr>
          <t>펌프</t>
        </r>
        <r>
          <rPr>
            <b/>
            <sz val="9"/>
            <color indexed="81"/>
            <rFont val="Tahoma"/>
            <family val="2"/>
          </rPr>
          <t xml:space="preserve">)
</t>
        </r>
      </text>
    </comment>
    <comment ref="V186" authorId="2" shapeId="0" xr:uid="{00000000-0006-0000-0100-000083000000}">
      <text>
        <r>
          <rPr>
            <b/>
            <sz val="9"/>
            <color indexed="81"/>
            <rFont val="Tahoma"/>
            <family val="2"/>
          </rPr>
          <t>user:
270(</t>
        </r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)+170(</t>
        </r>
        <r>
          <rPr>
            <b/>
            <sz val="9"/>
            <color indexed="81"/>
            <rFont val="돋움"/>
            <family val="3"/>
            <charset val="129"/>
          </rPr>
          <t>펌프</t>
        </r>
        <r>
          <rPr>
            <b/>
            <sz val="9"/>
            <color indexed="81"/>
            <rFont val="Tahoma"/>
            <family val="2"/>
          </rPr>
          <t xml:space="preserve">)
</t>
        </r>
      </text>
    </comment>
    <comment ref="V187" authorId="2" shapeId="0" xr:uid="{00000000-0006-0000-0100-000084000000}">
      <text>
        <r>
          <rPr>
            <b/>
            <sz val="9"/>
            <color indexed="81"/>
            <rFont val="Tahoma"/>
            <family val="2"/>
          </rPr>
          <t>user:
270(</t>
        </r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)+170(</t>
        </r>
        <r>
          <rPr>
            <b/>
            <sz val="9"/>
            <color indexed="81"/>
            <rFont val="돋움"/>
            <family val="3"/>
            <charset val="129"/>
          </rPr>
          <t>펌프</t>
        </r>
        <r>
          <rPr>
            <b/>
            <sz val="9"/>
            <color indexed="81"/>
            <rFont val="Tahoma"/>
            <family val="2"/>
          </rPr>
          <t xml:space="preserve">)
</t>
        </r>
      </text>
    </comment>
    <comment ref="V188" authorId="2" shapeId="0" xr:uid="{00000000-0006-0000-0100-000085000000}">
      <text>
        <r>
          <rPr>
            <b/>
            <sz val="9"/>
            <color indexed="81"/>
            <rFont val="Tahoma"/>
            <family val="2"/>
          </rPr>
          <t>user:
270(</t>
        </r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)+170(</t>
        </r>
        <r>
          <rPr>
            <b/>
            <sz val="9"/>
            <color indexed="81"/>
            <rFont val="돋움"/>
            <family val="3"/>
            <charset val="129"/>
          </rPr>
          <t>펌프</t>
        </r>
        <r>
          <rPr>
            <b/>
            <sz val="9"/>
            <color indexed="81"/>
            <rFont val="Tahoma"/>
            <family val="2"/>
          </rPr>
          <t xml:space="preserve">)
</t>
        </r>
      </text>
    </comment>
    <comment ref="V189" authorId="2" shapeId="0" xr:uid="{00000000-0006-0000-0100-00008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참프라텍</t>
        </r>
        <r>
          <rPr>
            <sz val="9"/>
            <color indexed="81"/>
            <rFont val="Tahoma"/>
            <family val="2"/>
          </rPr>
          <t xml:space="preserve"> 308</t>
        </r>
        <r>
          <rPr>
            <sz val="9"/>
            <color indexed="81"/>
            <rFont val="돋움"/>
            <family val="3"/>
            <charset val="129"/>
          </rPr>
          <t>원
메종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퍼퓸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바디워스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용기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  <r>
          <rPr>
            <sz val="9"/>
            <color indexed="81"/>
            <rFont val="Tahoma"/>
            <family val="2"/>
          </rPr>
          <t xml:space="preserve">(16.2.1)
</t>
        </r>
      </text>
    </comment>
    <comment ref="X189" authorId="2" shapeId="0" xr:uid="{00000000-0006-0000-0100-00008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170.5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코스필드</t>
        </r>
        <r>
          <rPr>
            <sz val="9"/>
            <color indexed="81"/>
            <rFont val="Tahoma"/>
            <family val="2"/>
          </rPr>
          <t xml:space="preserve">)
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19.8(</t>
        </r>
        <r>
          <rPr>
            <sz val="9"/>
            <color indexed="81"/>
            <rFont val="돋움"/>
            <family val="3"/>
            <charset val="129"/>
          </rPr>
          <t>조양플라스틱</t>
        </r>
        <r>
          <rPr>
            <sz val="9"/>
            <color indexed="81"/>
            <rFont val="Tahoma"/>
            <family val="2"/>
          </rPr>
          <t>)</t>
        </r>
      </text>
    </comment>
    <comment ref="V190" authorId="2" shapeId="0" xr:uid="{00000000-0006-0000-0100-00008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참프라텍</t>
        </r>
        <r>
          <rPr>
            <sz val="9"/>
            <color indexed="81"/>
            <rFont val="Tahoma"/>
            <family val="2"/>
          </rPr>
          <t xml:space="preserve"> 308</t>
        </r>
        <r>
          <rPr>
            <sz val="9"/>
            <color indexed="81"/>
            <rFont val="돋움"/>
            <family val="3"/>
            <charset val="129"/>
          </rPr>
          <t>원
메종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퍼퓸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바디워스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용기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  <r>
          <rPr>
            <sz val="9"/>
            <color indexed="81"/>
            <rFont val="Tahoma"/>
            <family val="2"/>
          </rPr>
          <t xml:space="preserve">(16.2.1)
</t>
        </r>
      </text>
    </comment>
    <comment ref="X190" authorId="2" shapeId="0" xr:uid="{00000000-0006-0000-0100-000089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170.5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코스필드</t>
        </r>
        <r>
          <rPr>
            <sz val="9"/>
            <color indexed="81"/>
            <rFont val="Tahoma"/>
            <family val="2"/>
          </rPr>
          <t xml:space="preserve">)
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19.8(</t>
        </r>
        <r>
          <rPr>
            <sz val="9"/>
            <color indexed="81"/>
            <rFont val="돋움"/>
            <family val="3"/>
            <charset val="129"/>
          </rPr>
          <t>조양플라스틱</t>
        </r>
        <r>
          <rPr>
            <sz val="9"/>
            <color indexed="81"/>
            <rFont val="Tahoma"/>
            <family val="2"/>
          </rPr>
          <t>)</t>
        </r>
      </text>
    </comment>
    <comment ref="V191" authorId="2" shapeId="0" xr:uid="{00000000-0006-0000-0100-00008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참프라텍</t>
        </r>
        <r>
          <rPr>
            <sz val="9"/>
            <color indexed="81"/>
            <rFont val="Tahoma"/>
            <family val="2"/>
          </rPr>
          <t xml:space="preserve"> 308</t>
        </r>
        <r>
          <rPr>
            <sz val="9"/>
            <color indexed="81"/>
            <rFont val="돋움"/>
            <family val="3"/>
            <charset val="129"/>
          </rPr>
          <t>원
메종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퍼퓸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바디워스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용기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  <r>
          <rPr>
            <sz val="9"/>
            <color indexed="81"/>
            <rFont val="Tahoma"/>
            <family val="2"/>
          </rPr>
          <t xml:space="preserve">(16.2.1)
</t>
        </r>
      </text>
    </comment>
    <comment ref="X191" authorId="2" shapeId="0" xr:uid="{00000000-0006-0000-0100-00008B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170.5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코스필드</t>
        </r>
        <r>
          <rPr>
            <sz val="9"/>
            <color indexed="81"/>
            <rFont val="Tahoma"/>
            <family val="2"/>
          </rPr>
          <t xml:space="preserve">)
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19.8(</t>
        </r>
        <r>
          <rPr>
            <sz val="9"/>
            <color indexed="81"/>
            <rFont val="돋움"/>
            <family val="3"/>
            <charset val="129"/>
          </rPr>
          <t>조양플라스틱</t>
        </r>
        <r>
          <rPr>
            <sz val="9"/>
            <color indexed="81"/>
            <rFont val="Tahoma"/>
            <family val="2"/>
          </rPr>
          <t>)</t>
        </r>
      </text>
    </comment>
    <comment ref="V192" authorId="2" shapeId="0" xr:uid="{00000000-0006-0000-0100-00008C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참프라텍</t>
        </r>
        <r>
          <rPr>
            <sz val="9"/>
            <color indexed="81"/>
            <rFont val="Tahoma"/>
            <family val="2"/>
          </rPr>
          <t xml:space="preserve"> 308</t>
        </r>
        <r>
          <rPr>
            <sz val="9"/>
            <color indexed="81"/>
            <rFont val="돋움"/>
            <family val="3"/>
            <charset val="129"/>
          </rPr>
          <t>원
메종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퍼퓸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바디워스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용기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  <r>
          <rPr>
            <sz val="9"/>
            <color indexed="81"/>
            <rFont val="Tahoma"/>
            <family val="2"/>
          </rPr>
          <t xml:space="preserve">(16.2.1)
</t>
        </r>
      </text>
    </comment>
    <comment ref="X192" authorId="2" shapeId="0" xr:uid="{00000000-0006-0000-0100-00008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170.5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코스필드</t>
        </r>
        <r>
          <rPr>
            <sz val="9"/>
            <color indexed="81"/>
            <rFont val="Tahoma"/>
            <family val="2"/>
          </rPr>
          <t xml:space="preserve">)
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19.8(</t>
        </r>
        <r>
          <rPr>
            <sz val="9"/>
            <color indexed="81"/>
            <rFont val="돋움"/>
            <family val="3"/>
            <charset val="129"/>
          </rPr>
          <t>조양플라스틱</t>
        </r>
        <r>
          <rPr>
            <sz val="9"/>
            <color indexed="81"/>
            <rFont val="Tahoma"/>
            <family val="2"/>
          </rPr>
          <t>)</t>
        </r>
      </text>
    </comment>
    <comment ref="V193" authorId="2" shapeId="0" xr:uid="{00000000-0006-0000-0100-00008E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참프라텍</t>
        </r>
        <r>
          <rPr>
            <sz val="9"/>
            <color indexed="81"/>
            <rFont val="Tahoma"/>
            <family val="2"/>
          </rPr>
          <t xml:space="preserve"> 308</t>
        </r>
        <r>
          <rPr>
            <sz val="9"/>
            <color indexed="81"/>
            <rFont val="돋움"/>
            <family val="3"/>
            <charset val="129"/>
          </rPr>
          <t>원
메종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퍼퓸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바디워스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용기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  <r>
          <rPr>
            <sz val="9"/>
            <color indexed="81"/>
            <rFont val="Tahoma"/>
            <family val="2"/>
          </rPr>
          <t xml:space="preserve">(16.2.1)
</t>
        </r>
      </text>
    </comment>
    <comment ref="X193" authorId="2" shapeId="0" xr:uid="{00000000-0006-0000-0100-00008F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170.5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코스필드</t>
        </r>
        <r>
          <rPr>
            <sz val="9"/>
            <color indexed="81"/>
            <rFont val="Tahoma"/>
            <family val="2"/>
          </rPr>
          <t xml:space="preserve">)
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19.8(</t>
        </r>
        <r>
          <rPr>
            <sz val="9"/>
            <color indexed="81"/>
            <rFont val="돋움"/>
            <family val="3"/>
            <charset val="129"/>
          </rPr>
          <t>조양플라스틱</t>
        </r>
        <r>
          <rPr>
            <sz val="9"/>
            <color indexed="81"/>
            <rFont val="Tahoma"/>
            <family val="2"/>
          </rPr>
          <t>)</t>
        </r>
      </text>
    </comment>
    <comment ref="X194" authorId="2" shapeId="0" xr:uid="{00000000-0006-0000-0100-000090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198(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>)+20(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)
</t>
        </r>
      </text>
    </comment>
    <comment ref="X195" authorId="2" shapeId="0" xr:uid="{00000000-0006-0000-0100-00009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198(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>)+20(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)
</t>
        </r>
      </text>
    </comment>
    <comment ref="X196" authorId="2" shapeId="0" xr:uid="{00000000-0006-0000-0100-00009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198(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>)+20(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)
</t>
        </r>
      </text>
    </comment>
    <comment ref="X197" authorId="2" shapeId="0" xr:uid="{00000000-0006-0000-0100-00009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198(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>)+20(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)
</t>
        </r>
      </text>
    </comment>
    <comment ref="X198" authorId="2" shapeId="0" xr:uid="{00000000-0006-0000-0100-00009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198(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>)+20(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마케팅팀</author>
    <author>User</author>
    <author>user</author>
  </authors>
  <commentList>
    <comment ref="X15" authorId="0" shapeId="0" xr:uid="{00000000-0006-0000-0200-000001000000}">
      <text>
        <r>
          <rPr>
            <b/>
            <sz val="9"/>
            <color indexed="81"/>
            <rFont val="돋움"/>
            <family val="3"/>
            <charset val="129"/>
          </rPr>
          <t>퍼프</t>
        </r>
        <r>
          <rPr>
            <b/>
            <sz val="9"/>
            <color indexed="81"/>
            <rFont val="Tahoma"/>
            <family val="2"/>
          </rPr>
          <t>:385 (</t>
        </r>
        <r>
          <rPr>
            <b/>
            <sz val="9"/>
            <color indexed="81"/>
            <rFont val="돋움"/>
            <family val="3"/>
            <charset val="129"/>
          </rPr>
          <t>한국피앤피</t>
        </r>
        <r>
          <rPr>
            <b/>
            <sz val="9"/>
            <color indexed="81"/>
            <rFont val="Tahoma"/>
            <family val="2"/>
          </rPr>
          <t xml:space="preserve">)
</t>
        </r>
        <r>
          <rPr>
            <b/>
            <sz val="9"/>
            <color indexed="81"/>
            <rFont val="돋움"/>
            <family val="3"/>
            <charset val="129"/>
          </rPr>
          <t>스폰지</t>
        </r>
        <r>
          <rPr>
            <b/>
            <sz val="9"/>
            <color indexed="81"/>
            <rFont val="Tahoma"/>
            <family val="2"/>
          </rPr>
          <t>:154 (</t>
        </r>
        <r>
          <rPr>
            <b/>
            <sz val="9"/>
            <color indexed="81"/>
            <rFont val="돋움"/>
            <family val="3"/>
            <charset val="129"/>
          </rPr>
          <t>한국피앤피</t>
        </r>
        <r>
          <rPr>
            <b/>
            <sz val="9"/>
            <color indexed="81"/>
            <rFont val="Tahoma"/>
            <family val="2"/>
          </rPr>
          <t xml:space="preserve">)
</t>
        </r>
        <r>
          <rPr>
            <b/>
            <sz val="9"/>
            <color indexed="81"/>
            <rFont val="돋움"/>
            <family val="3"/>
            <charset val="129"/>
          </rPr>
          <t>홋수라벨</t>
        </r>
        <r>
          <rPr>
            <b/>
            <sz val="9"/>
            <color indexed="81"/>
            <rFont val="Tahoma"/>
            <family val="2"/>
          </rPr>
          <t xml:space="preserve">:22
</t>
        </r>
        <r>
          <rPr>
            <b/>
            <sz val="9"/>
            <color indexed="81"/>
            <rFont val="돋움"/>
            <family val="3"/>
            <charset val="129"/>
          </rPr>
          <t>실라벨</t>
        </r>
        <r>
          <rPr>
            <b/>
            <sz val="9"/>
            <color indexed="81"/>
            <rFont val="Tahoma"/>
            <family val="2"/>
          </rPr>
          <t>:33</t>
        </r>
      </text>
    </comment>
    <comment ref="AR15" authorId="0" shapeId="0" xr:uid="{00000000-0006-0000-0200-000002000000}">
      <text>
        <r>
          <rPr>
            <b/>
            <sz val="9"/>
            <color indexed="81"/>
            <rFont val="돋움"/>
            <family val="3"/>
            <charset val="129"/>
          </rPr>
          <t>이영준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실라벨</t>
        </r>
        <r>
          <rPr>
            <sz val="9"/>
            <color indexed="81"/>
            <rFont val="Tahoma"/>
            <family val="2"/>
          </rPr>
          <t xml:space="preserve"> 33</t>
        </r>
      </text>
    </comment>
    <comment ref="X16" authorId="0" shapeId="0" xr:uid="{00000000-0006-0000-0200-000003000000}">
      <text>
        <r>
          <rPr>
            <b/>
            <sz val="9"/>
            <color indexed="81"/>
            <rFont val="돋움"/>
            <family val="3"/>
            <charset val="129"/>
          </rPr>
          <t>퍼프</t>
        </r>
        <r>
          <rPr>
            <b/>
            <sz val="9"/>
            <color indexed="81"/>
            <rFont val="Tahoma"/>
            <family val="2"/>
          </rPr>
          <t>:385 (</t>
        </r>
        <r>
          <rPr>
            <b/>
            <sz val="9"/>
            <color indexed="81"/>
            <rFont val="돋움"/>
            <family val="3"/>
            <charset val="129"/>
          </rPr>
          <t>한국피앤피</t>
        </r>
        <r>
          <rPr>
            <b/>
            <sz val="9"/>
            <color indexed="81"/>
            <rFont val="Tahoma"/>
            <family val="2"/>
          </rPr>
          <t xml:space="preserve">)
</t>
        </r>
        <r>
          <rPr>
            <b/>
            <sz val="9"/>
            <color indexed="81"/>
            <rFont val="돋움"/>
            <family val="3"/>
            <charset val="129"/>
          </rPr>
          <t>스폰지</t>
        </r>
        <r>
          <rPr>
            <b/>
            <sz val="9"/>
            <color indexed="81"/>
            <rFont val="Tahoma"/>
            <family val="2"/>
          </rPr>
          <t>:154 (</t>
        </r>
        <r>
          <rPr>
            <b/>
            <sz val="9"/>
            <color indexed="81"/>
            <rFont val="돋움"/>
            <family val="3"/>
            <charset val="129"/>
          </rPr>
          <t>한국피앤피</t>
        </r>
        <r>
          <rPr>
            <b/>
            <sz val="9"/>
            <color indexed="81"/>
            <rFont val="Tahoma"/>
            <family val="2"/>
          </rPr>
          <t xml:space="preserve">)
</t>
        </r>
        <r>
          <rPr>
            <b/>
            <sz val="9"/>
            <color indexed="81"/>
            <rFont val="돋움"/>
            <family val="3"/>
            <charset val="129"/>
          </rPr>
          <t>홋수라벨</t>
        </r>
        <r>
          <rPr>
            <b/>
            <sz val="9"/>
            <color indexed="81"/>
            <rFont val="Tahoma"/>
            <family val="2"/>
          </rPr>
          <t xml:space="preserve">:22
</t>
        </r>
        <r>
          <rPr>
            <b/>
            <sz val="9"/>
            <color indexed="81"/>
            <rFont val="돋움"/>
            <family val="3"/>
            <charset val="129"/>
          </rPr>
          <t>실라벨</t>
        </r>
        <r>
          <rPr>
            <b/>
            <sz val="9"/>
            <color indexed="81"/>
            <rFont val="Tahoma"/>
            <family val="2"/>
          </rPr>
          <t>:33</t>
        </r>
      </text>
    </comment>
    <comment ref="X19" authorId="1" shapeId="0" xr:uid="{00000000-0006-0000-0200-00000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0" authorId="1" shapeId="0" xr:uid="{00000000-0006-0000-0200-00000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1" authorId="1" shapeId="0" xr:uid="{00000000-0006-0000-0200-00000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2" authorId="1" shapeId="0" xr:uid="{00000000-0006-0000-0200-00000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3" authorId="1" shapeId="0" xr:uid="{00000000-0006-0000-0200-00000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4" authorId="1" shapeId="0" xr:uid="{00000000-0006-0000-0200-000009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5" authorId="1" shapeId="0" xr:uid="{00000000-0006-0000-0200-00000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6" authorId="1" shapeId="0" xr:uid="{00000000-0006-0000-0200-00000B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7" authorId="1" shapeId="0" xr:uid="{00000000-0006-0000-0200-00000C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8" authorId="1" shapeId="0" xr:uid="{00000000-0006-0000-0200-00000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29" authorId="1" shapeId="0" xr:uid="{00000000-0006-0000-0200-00000E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바코드라벨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V39" authorId="0" shapeId="0" xr:uid="{00000000-0006-0000-0200-00000F000000}">
      <text>
        <r>
          <rPr>
            <b/>
            <sz val="9"/>
            <color indexed="81"/>
            <rFont val="돋움"/>
            <family val="3"/>
            <charset val="129"/>
          </rPr>
          <t>중국용기</t>
        </r>
        <r>
          <rPr>
            <b/>
            <sz val="9"/>
            <color indexed="81"/>
            <rFont val="Tahoma"/>
            <family val="2"/>
          </rPr>
          <t>(YS)806</t>
        </r>
        <r>
          <rPr>
            <b/>
            <sz val="9"/>
            <color indexed="81"/>
            <rFont val="돋움"/>
            <family val="3"/>
            <charset val="129"/>
          </rPr>
          <t xml:space="preserve">원
</t>
        </r>
        <r>
          <rPr>
            <sz val="9"/>
            <color indexed="81"/>
            <rFont val="돋움"/>
            <family val="3"/>
            <charset val="129"/>
          </rPr>
          <t>상해지사핸들링차지</t>
        </r>
        <r>
          <rPr>
            <sz val="9"/>
            <color indexed="81"/>
            <rFont val="Tahoma"/>
            <family val="2"/>
          </rPr>
          <t xml:space="preserve"> 20%</t>
        </r>
        <r>
          <rPr>
            <sz val="9"/>
            <color indexed="81"/>
            <rFont val="돋움"/>
            <family val="3"/>
            <charset val="129"/>
          </rPr>
          <t>포함
국내용기시</t>
        </r>
        <r>
          <rPr>
            <sz val="9"/>
            <color indexed="81"/>
            <rFont val="Tahoma"/>
            <family val="2"/>
          </rPr>
          <t>(990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)</t>
        </r>
      </text>
    </comment>
    <comment ref="V43" authorId="0" shapeId="0" xr:uid="{00000000-0006-0000-0200-000010000000}">
      <text>
        <r>
          <rPr>
            <b/>
            <sz val="9"/>
            <color indexed="81"/>
            <rFont val="돋움"/>
            <family val="3"/>
            <charset val="129"/>
          </rPr>
          <t>중국용기</t>
        </r>
        <r>
          <rPr>
            <b/>
            <sz val="9"/>
            <color indexed="81"/>
            <rFont val="Tahoma"/>
            <family val="2"/>
          </rPr>
          <t>(YS)806</t>
        </r>
        <r>
          <rPr>
            <b/>
            <sz val="9"/>
            <color indexed="81"/>
            <rFont val="돋움"/>
            <family val="3"/>
            <charset val="129"/>
          </rPr>
          <t xml:space="preserve">원
</t>
        </r>
        <r>
          <rPr>
            <sz val="9"/>
            <color indexed="81"/>
            <rFont val="돋움"/>
            <family val="3"/>
            <charset val="129"/>
          </rPr>
          <t>상해지사핸들링차지</t>
        </r>
        <r>
          <rPr>
            <sz val="9"/>
            <color indexed="81"/>
            <rFont val="Tahoma"/>
            <family val="2"/>
          </rPr>
          <t xml:space="preserve"> 20%</t>
        </r>
        <r>
          <rPr>
            <sz val="9"/>
            <color indexed="81"/>
            <rFont val="돋움"/>
            <family val="3"/>
            <charset val="129"/>
          </rPr>
          <t>포함
국내용기시</t>
        </r>
        <r>
          <rPr>
            <sz val="9"/>
            <color indexed="81"/>
            <rFont val="Tahoma"/>
            <family val="2"/>
          </rPr>
          <t>(990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)</t>
        </r>
      </text>
    </comment>
    <comment ref="V44" authorId="0" shapeId="0" xr:uid="{00000000-0006-0000-0200-000011000000}">
      <text>
        <r>
          <rPr>
            <b/>
            <sz val="9"/>
            <color indexed="81"/>
            <rFont val="돋움"/>
            <family val="3"/>
            <charset val="129"/>
          </rPr>
          <t>중국용기</t>
        </r>
        <r>
          <rPr>
            <b/>
            <sz val="9"/>
            <color indexed="81"/>
            <rFont val="Tahoma"/>
            <family val="2"/>
          </rPr>
          <t>(YS)806</t>
        </r>
        <r>
          <rPr>
            <b/>
            <sz val="9"/>
            <color indexed="81"/>
            <rFont val="돋움"/>
            <family val="3"/>
            <charset val="129"/>
          </rPr>
          <t xml:space="preserve">원
</t>
        </r>
        <r>
          <rPr>
            <sz val="9"/>
            <color indexed="81"/>
            <rFont val="돋움"/>
            <family val="3"/>
            <charset val="129"/>
          </rPr>
          <t>상해지사핸들링차지</t>
        </r>
        <r>
          <rPr>
            <sz val="9"/>
            <color indexed="81"/>
            <rFont val="Tahoma"/>
            <family val="2"/>
          </rPr>
          <t xml:space="preserve"> 20%</t>
        </r>
        <r>
          <rPr>
            <sz val="9"/>
            <color indexed="81"/>
            <rFont val="돋움"/>
            <family val="3"/>
            <charset val="129"/>
          </rPr>
          <t>포함
국내용기시</t>
        </r>
        <r>
          <rPr>
            <sz val="9"/>
            <color indexed="81"/>
            <rFont val="Tahoma"/>
            <family val="2"/>
          </rPr>
          <t>(990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)</t>
        </r>
      </text>
    </comment>
    <comment ref="V45" authorId="0" shapeId="0" xr:uid="{00000000-0006-0000-0200-000012000000}">
      <text>
        <r>
          <rPr>
            <b/>
            <sz val="9"/>
            <color indexed="81"/>
            <rFont val="돋움"/>
            <family val="3"/>
            <charset val="129"/>
          </rPr>
          <t>중국용기</t>
        </r>
        <r>
          <rPr>
            <b/>
            <sz val="9"/>
            <color indexed="81"/>
            <rFont val="Tahoma"/>
            <family val="2"/>
          </rPr>
          <t>(YS)806</t>
        </r>
        <r>
          <rPr>
            <b/>
            <sz val="9"/>
            <color indexed="81"/>
            <rFont val="돋움"/>
            <family val="3"/>
            <charset val="129"/>
          </rPr>
          <t xml:space="preserve">원
</t>
        </r>
        <r>
          <rPr>
            <sz val="9"/>
            <color indexed="81"/>
            <rFont val="돋움"/>
            <family val="3"/>
            <charset val="129"/>
          </rPr>
          <t>상해지사핸들링차지</t>
        </r>
        <r>
          <rPr>
            <sz val="9"/>
            <color indexed="81"/>
            <rFont val="Tahoma"/>
            <family val="2"/>
          </rPr>
          <t xml:space="preserve"> 20%</t>
        </r>
        <r>
          <rPr>
            <sz val="9"/>
            <color indexed="81"/>
            <rFont val="돋움"/>
            <family val="3"/>
            <charset val="129"/>
          </rPr>
          <t>포함
국내용기시</t>
        </r>
        <r>
          <rPr>
            <sz val="9"/>
            <color indexed="81"/>
            <rFont val="Tahoma"/>
            <family val="2"/>
          </rPr>
          <t>(990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)</t>
        </r>
      </text>
    </comment>
    <comment ref="V46" authorId="0" shapeId="0" xr:uid="{00000000-0006-0000-0200-000013000000}">
      <text>
        <r>
          <rPr>
            <b/>
            <sz val="9"/>
            <color indexed="81"/>
            <rFont val="돋움"/>
            <family val="3"/>
            <charset val="129"/>
          </rPr>
          <t>중국용기</t>
        </r>
        <r>
          <rPr>
            <b/>
            <sz val="9"/>
            <color indexed="81"/>
            <rFont val="Tahoma"/>
            <family val="2"/>
          </rPr>
          <t>(YS)806</t>
        </r>
        <r>
          <rPr>
            <b/>
            <sz val="9"/>
            <color indexed="81"/>
            <rFont val="돋움"/>
            <family val="3"/>
            <charset val="129"/>
          </rPr>
          <t xml:space="preserve">원
</t>
        </r>
        <r>
          <rPr>
            <sz val="9"/>
            <color indexed="81"/>
            <rFont val="돋움"/>
            <family val="3"/>
            <charset val="129"/>
          </rPr>
          <t>상해지사핸들링차지</t>
        </r>
        <r>
          <rPr>
            <sz val="9"/>
            <color indexed="81"/>
            <rFont val="Tahoma"/>
            <family val="2"/>
          </rPr>
          <t xml:space="preserve"> 20%</t>
        </r>
        <r>
          <rPr>
            <sz val="9"/>
            <color indexed="81"/>
            <rFont val="돋움"/>
            <family val="3"/>
            <charset val="129"/>
          </rPr>
          <t>포함
국내용기시</t>
        </r>
        <r>
          <rPr>
            <sz val="9"/>
            <color indexed="81"/>
            <rFont val="Tahoma"/>
            <family val="2"/>
          </rPr>
          <t>(990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)</t>
        </r>
      </text>
    </comment>
    <comment ref="V47" authorId="0" shapeId="0" xr:uid="{00000000-0006-0000-0200-000014000000}">
      <text>
        <r>
          <rPr>
            <b/>
            <sz val="9"/>
            <color indexed="81"/>
            <rFont val="돋움"/>
            <family val="3"/>
            <charset val="129"/>
          </rPr>
          <t>중국용기</t>
        </r>
        <r>
          <rPr>
            <b/>
            <sz val="9"/>
            <color indexed="81"/>
            <rFont val="Tahoma"/>
            <family val="2"/>
          </rPr>
          <t>(YS)806</t>
        </r>
        <r>
          <rPr>
            <b/>
            <sz val="9"/>
            <color indexed="81"/>
            <rFont val="돋움"/>
            <family val="3"/>
            <charset val="129"/>
          </rPr>
          <t xml:space="preserve">원
</t>
        </r>
        <r>
          <rPr>
            <sz val="9"/>
            <color indexed="81"/>
            <rFont val="돋움"/>
            <family val="3"/>
            <charset val="129"/>
          </rPr>
          <t>상해지사핸들링차지</t>
        </r>
        <r>
          <rPr>
            <sz val="9"/>
            <color indexed="81"/>
            <rFont val="Tahoma"/>
            <family val="2"/>
          </rPr>
          <t xml:space="preserve"> 20%</t>
        </r>
        <r>
          <rPr>
            <sz val="9"/>
            <color indexed="81"/>
            <rFont val="돋움"/>
            <family val="3"/>
            <charset val="129"/>
          </rPr>
          <t>포함
국내용기시</t>
        </r>
        <r>
          <rPr>
            <sz val="9"/>
            <color indexed="81"/>
            <rFont val="Tahoma"/>
            <family val="2"/>
          </rPr>
          <t>(990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)</t>
        </r>
      </text>
    </comment>
    <comment ref="V48" authorId="0" shapeId="0" xr:uid="{00000000-0006-0000-0200-000015000000}">
      <text>
        <r>
          <rPr>
            <b/>
            <sz val="9"/>
            <color indexed="81"/>
            <rFont val="돋움"/>
            <family val="3"/>
            <charset val="129"/>
          </rPr>
          <t>중국용기</t>
        </r>
        <r>
          <rPr>
            <b/>
            <sz val="9"/>
            <color indexed="81"/>
            <rFont val="Tahoma"/>
            <family val="2"/>
          </rPr>
          <t>(YS)806</t>
        </r>
        <r>
          <rPr>
            <b/>
            <sz val="9"/>
            <color indexed="81"/>
            <rFont val="돋움"/>
            <family val="3"/>
            <charset val="129"/>
          </rPr>
          <t xml:space="preserve">원
</t>
        </r>
        <r>
          <rPr>
            <sz val="9"/>
            <color indexed="81"/>
            <rFont val="돋움"/>
            <family val="3"/>
            <charset val="129"/>
          </rPr>
          <t>상해지사핸들링차지</t>
        </r>
        <r>
          <rPr>
            <sz val="9"/>
            <color indexed="81"/>
            <rFont val="Tahoma"/>
            <family val="2"/>
          </rPr>
          <t xml:space="preserve"> 20%</t>
        </r>
        <r>
          <rPr>
            <sz val="9"/>
            <color indexed="81"/>
            <rFont val="돋움"/>
            <family val="3"/>
            <charset val="129"/>
          </rPr>
          <t>포함
국내용기시</t>
        </r>
        <r>
          <rPr>
            <sz val="9"/>
            <color indexed="81"/>
            <rFont val="Tahoma"/>
            <family val="2"/>
          </rPr>
          <t>(990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)</t>
        </r>
      </text>
    </comment>
    <comment ref="V49" authorId="0" shapeId="0" xr:uid="{00000000-0006-0000-0200-000016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49" authorId="1" shapeId="0" xr:uid="{00000000-0006-0000-0200-00001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183*1.1=201.3</t>
        </r>
      </text>
    </comment>
    <comment ref="X49" authorId="1" shapeId="0" xr:uid="{00000000-0006-0000-0200-00001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라벨비용추가
</t>
        </r>
      </text>
    </comment>
    <comment ref="V50" authorId="0" shapeId="0" xr:uid="{00000000-0006-0000-0200-000019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50" authorId="1" shapeId="0" xr:uid="{00000000-0006-0000-0200-00001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183*1.1=201.3</t>
        </r>
      </text>
    </comment>
    <comment ref="V51" authorId="0" shapeId="0" xr:uid="{00000000-0006-0000-0200-00001B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51" authorId="1" shapeId="0" xr:uid="{00000000-0006-0000-0200-00001C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183*1.1=201.3</t>
        </r>
      </text>
    </comment>
    <comment ref="V52" authorId="0" shapeId="0" xr:uid="{00000000-0006-0000-0200-00001D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52" authorId="1" shapeId="0" xr:uid="{00000000-0006-0000-0200-00001E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183*1.1=201.3</t>
        </r>
      </text>
    </comment>
    <comment ref="V53" authorId="0" shapeId="0" xr:uid="{00000000-0006-0000-0200-00001F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53" authorId="1" shapeId="0" xr:uid="{00000000-0006-0000-0200-000020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183*1.1=201.3</t>
        </r>
      </text>
    </comment>
    <comment ref="V54" authorId="0" shapeId="0" xr:uid="{00000000-0006-0000-0200-000021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54" authorId="1" shapeId="0" xr:uid="{00000000-0006-0000-0200-00002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183*1.1=201.3</t>
        </r>
      </text>
    </comment>
    <comment ref="V55" authorId="0" shapeId="0" xr:uid="{00000000-0006-0000-0200-000023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55" authorId="1" shapeId="0" xr:uid="{00000000-0006-0000-0200-00002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183*1.1=201.3</t>
        </r>
      </text>
    </comment>
    <comment ref="V56" authorId="0" shapeId="0" xr:uid="{00000000-0006-0000-0200-000025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</t>
        </r>
        <r>
          <rPr>
            <b/>
            <sz val="9"/>
            <color indexed="81"/>
            <rFont val="돋움"/>
            <family val="3"/>
            <charset val="129"/>
          </rPr>
          <t>개
각</t>
        </r>
        <r>
          <rPr>
            <b/>
            <sz val="9"/>
            <color indexed="81"/>
            <rFont val="Tahoma"/>
            <family val="2"/>
          </rPr>
          <t>335</t>
        </r>
        <r>
          <rPr>
            <b/>
            <sz val="9"/>
            <color indexed="81"/>
            <rFont val="돋움"/>
            <family val="3"/>
            <charset val="129"/>
          </rPr>
          <t>원</t>
        </r>
      </text>
    </comment>
    <comment ref="X56" authorId="1" shapeId="0" xr:uid="{00000000-0006-0000-0200-00002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라벨비용추가</t>
        </r>
      </text>
    </comment>
    <comment ref="V57" authorId="0" shapeId="0" xr:uid="{00000000-0006-0000-0200-000027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57" authorId="1" shapeId="0" xr:uid="{00000000-0006-0000-0200-00002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191*1.1=210.1</t>
        </r>
      </text>
    </comment>
    <comment ref="V58" authorId="0" shapeId="0" xr:uid="{00000000-0006-0000-0200-000029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58" authorId="1" shapeId="0" xr:uid="{00000000-0006-0000-0200-00002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191*1.1=210.1</t>
        </r>
      </text>
    </comment>
    <comment ref="V59" authorId="0" shapeId="0" xr:uid="{00000000-0006-0000-0200-00002B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59" authorId="1" shapeId="0" xr:uid="{00000000-0006-0000-0200-00002C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191*1.1=210.1</t>
        </r>
      </text>
    </comment>
    <comment ref="V60" authorId="0" shapeId="0" xr:uid="{00000000-0006-0000-0200-00002D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60" authorId="1" shapeId="0" xr:uid="{00000000-0006-0000-0200-00002E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191*1.1=210.1</t>
        </r>
      </text>
    </comment>
    <comment ref="V61" authorId="0" shapeId="0" xr:uid="{00000000-0006-0000-0200-00002F000000}">
      <text>
        <r>
          <rPr>
            <sz val="9"/>
            <color indexed="81"/>
            <rFont val="돋움"/>
            <family val="3"/>
            <charset val="129"/>
          </rPr>
          <t>중국용기</t>
        </r>
        <r>
          <rPr>
            <sz val="9"/>
            <color indexed="81"/>
            <rFont val="Tahoma"/>
            <family val="2"/>
          </rPr>
          <t>(440)</t>
        </r>
        <r>
          <rPr>
            <sz val="9"/>
            <color indexed="81"/>
            <rFont val="돋움"/>
            <family val="3"/>
            <charset val="129"/>
          </rPr>
          <t xml:space="preserve">
국내용기</t>
        </r>
        <r>
          <rPr>
            <sz val="9"/>
            <color indexed="81"/>
            <rFont val="Tahoma"/>
            <family val="2"/>
          </rPr>
          <t>(990)</t>
        </r>
      </text>
    </comment>
    <comment ref="W61" authorId="1" shapeId="0" xr:uid="{00000000-0006-0000-0200-000030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사양변경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단가</t>
        </r>
        <r>
          <rPr>
            <sz val="9"/>
            <color indexed="81"/>
            <rFont val="Tahoma"/>
            <family val="2"/>
          </rPr>
          <t xml:space="preserve"> 191*1.1=210.1</t>
        </r>
      </text>
    </comment>
    <comment ref="X62" authorId="1" shapeId="0" xr:uid="{00000000-0006-0000-0200-00003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라벨추가</t>
        </r>
      </text>
    </comment>
    <comment ref="X70" authorId="1" shapeId="0" xr:uid="{00000000-0006-0000-0200-00003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V71" authorId="0" shapeId="0" xr:uid="{00000000-0006-0000-0200-000033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330+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110</t>
        </r>
      </text>
    </comment>
    <comment ref="V72" authorId="0" shapeId="0" xr:uid="{00000000-0006-0000-0200-000034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385+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55+</t>
        </r>
        <r>
          <rPr>
            <b/>
            <sz val="9"/>
            <color indexed="81"/>
            <rFont val="돋움"/>
            <family val="3"/>
            <charset val="129"/>
          </rPr>
          <t>실</t>
        </r>
        <r>
          <rPr>
            <b/>
            <sz val="9"/>
            <color indexed="81"/>
            <rFont val="Tahoma"/>
            <family val="2"/>
          </rPr>
          <t>66</t>
        </r>
      </text>
    </comment>
    <comment ref="X72" authorId="1" shapeId="0" xr:uid="{00000000-0006-0000-0200-00003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스패츌러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태광</t>
        </r>
        <r>
          <rPr>
            <sz val="9"/>
            <color indexed="81"/>
            <rFont val="Tahoma"/>
            <family val="2"/>
          </rPr>
          <t>-&gt;</t>
        </r>
        <r>
          <rPr>
            <sz val="9"/>
            <color indexed="81"/>
            <rFont val="돋움"/>
            <family val="3"/>
            <charset val="129"/>
          </rPr>
          <t>참하이테크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변경</t>
        </r>
        <r>
          <rPr>
            <sz val="9"/>
            <color indexed="81"/>
            <rFont val="Tahoma"/>
            <family val="2"/>
          </rPr>
          <t>_2018.01.05)
50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-&gt;44</t>
        </r>
        <r>
          <rPr>
            <sz val="9"/>
            <color indexed="81"/>
            <rFont val="돋움"/>
            <family val="3"/>
            <charset val="129"/>
          </rPr>
          <t>원</t>
        </r>
      </text>
    </comment>
    <comment ref="V73" authorId="0" shapeId="0" xr:uid="{00000000-0006-0000-0200-000036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330+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110</t>
        </r>
      </text>
    </comment>
    <comment ref="W81" authorId="1" shapeId="0" xr:uid="{00000000-0006-0000-0200-00003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소수점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차이</t>
        </r>
        <r>
          <rPr>
            <sz val="9"/>
            <color indexed="81"/>
            <rFont val="Tahoma"/>
            <family val="2"/>
          </rPr>
          <t>. 135*1.1=148.5</t>
        </r>
      </text>
    </comment>
    <comment ref="V82" authorId="1" shapeId="0" xr:uid="{00000000-0006-0000-0200-000038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418+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121+</t>
        </r>
        <r>
          <rPr>
            <b/>
            <sz val="9"/>
            <color indexed="81"/>
            <rFont val="돋움"/>
            <family val="3"/>
            <charset val="129"/>
          </rPr>
          <t>실</t>
        </r>
        <r>
          <rPr>
            <b/>
            <sz val="9"/>
            <color indexed="81"/>
            <rFont val="Tahoma"/>
            <family val="2"/>
          </rPr>
          <t>49.5</t>
        </r>
      </text>
    </comment>
    <comment ref="V83" authorId="0" shapeId="0" xr:uid="{00000000-0006-0000-0200-000039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220+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88+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44</t>
        </r>
      </text>
    </comment>
    <comment ref="X83" authorId="1" shapeId="0" xr:uid="{00000000-0006-0000-0200-00003A000000}">
      <text>
        <r>
          <rPr>
            <b/>
            <sz val="9"/>
            <color indexed="81"/>
            <rFont val="Tahoma"/>
            <family val="2"/>
          </rPr>
          <t xml:space="preserve">User: 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150*1.1=165, 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15*1.1=16.5</t>
        </r>
      </text>
    </comment>
    <comment ref="V84" authorId="0" shapeId="0" xr:uid="{00000000-0006-0000-0200-00003B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330+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77+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38.5</t>
        </r>
      </text>
    </comment>
    <comment ref="X84" authorId="1" shapeId="0" xr:uid="{00000000-0006-0000-0200-00003C000000}">
      <text>
        <r>
          <rPr>
            <b/>
            <sz val="9"/>
            <color indexed="81"/>
            <rFont val="Tahoma"/>
            <family val="2"/>
          </rPr>
          <t xml:space="preserve">User: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전성분라벨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 xml:space="preserve">.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12*1.1=13.2, </t>
        </r>
        <r>
          <rPr>
            <b/>
            <sz val="9"/>
            <color indexed="81"/>
            <rFont val="돋움"/>
            <family val="3"/>
            <charset val="129"/>
          </rPr>
          <t>전성분라벨</t>
        </r>
        <r>
          <rPr>
            <b/>
            <sz val="9"/>
            <color indexed="81"/>
            <rFont val="Tahoma"/>
            <family val="2"/>
          </rPr>
          <t xml:space="preserve"> 15*1.1=16.5</t>
        </r>
      </text>
    </comment>
    <comment ref="X85" authorId="1" shapeId="0" xr:uid="{00000000-0006-0000-0200-00003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스패츌러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태광</t>
        </r>
        <r>
          <rPr>
            <sz val="9"/>
            <color indexed="81"/>
            <rFont val="Tahoma"/>
            <family val="2"/>
          </rPr>
          <t>-&gt;</t>
        </r>
        <r>
          <rPr>
            <sz val="9"/>
            <color indexed="81"/>
            <rFont val="돋움"/>
            <family val="3"/>
            <charset val="129"/>
          </rPr>
          <t>참하이테크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변경</t>
        </r>
        <r>
          <rPr>
            <sz val="9"/>
            <color indexed="81"/>
            <rFont val="Tahoma"/>
            <family val="2"/>
          </rPr>
          <t>_2018.01.05)
50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-&gt;44</t>
        </r>
        <r>
          <rPr>
            <sz val="9"/>
            <color indexed="81"/>
            <rFont val="돋움"/>
            <family val="3"/>
            <charset val="129"/>
          </rPr>
          <t>원</t>
        </r>
      </text>
    </comment>
    <comment ref="V91" authorId="0" shapeId="0" xr:uid="{00000000-0006-0000-0200-00003E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330+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38.5+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77</t>
        </r>
      </text>
    </comment>
    <comment ref="W91" authorId="1" shapeId="0" xr:uid="{00000000-0006-0000-0200-00003F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코스필드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견적</t>
        </r>
        <r>
          <rPr>
            <sz val="9"/>
            <color indexed="81"/>
            <rFont val="Tahoma"/>
            <family val="2"/>
          </rPr>
          <t xml:space="preserve"> 5</t>
        </r>
        <r>
          <rPr>
            <sz val="9"/>
            <color indexed="81"/>
            <rFont val="돋움"/>
            <family val="3"/>
            <charset val="129"/>
          </rPr>
          <t>천개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기준</t>
        </r>
      </text>
    </comment>
    <comment ref="V92" authorId="0" shapeId="0" xr:uid="{00000000-0006-0000-0200-000040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319+</t>
        </r>
        <r>
          <rPr>
            <b/>
            <sz val="9"/>
            <color indexed="81"/>
            <rFont val="돋움"/>
            <family val="3"/>
            <charset val="129"/>
          </rPr>
          <t>펌프</t>
        </r>
        <r>
          <rPr>
            <b/>
            <sz val="9"/>
            <color indexed="81"/>
            <rFont val="Tahoma"/>
            <family val="2"/>
          </rPr>
          <t>308</t>
        </r>
      </text>
    </comment>
    <comment ref="V93" authorId="0" shapeId="0" xr:uid="{00000000-0006-0000-0200-000041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330+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38.5+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77</t>
        </r>
      </text>
    </comment>
    <comment ref="V95" authorId="0" shapeId="0" xr:uid="{00000000-0006-0000-0200-000042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407+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88+</t>
        </r>
        <r>
          <rPr>
            <b/>
            <sz val="9"/>
            <color indexed="81"/>
            <rFont val="돋움"/>
            <family val="3"/>
            <charset val="129"/>
          </rPr>
          <t>실</t>
        </r>
        <r>
          <rPr>
            <b/>
            <sz val="9"/>
            <color indexed="81"/>
            <rFont val="Tahoma"/>
            <family val="2"/>
          </rPr>
          <t>66</t>
        </r>
      </text>
    </comment>
    <comment ref="X97" authorId="1" shapeId="0" xr:uid="{00000000-0006-0000-0200-00004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조양플라스틱</t>
        </r>
      </text>
    </comment>
    <comment ref="W99" authorId="0" shapeId="0" xr:uid="{00000000-0006-0000-0200-000044000000}">
      <text>
        <r>
          <rPr>
            <b/>
            <sz val="9"/>
            <color indexed="81"/>
            <rFont val="돋움"/>
            <family val="3"/>
            <charset val="129"/>
          </rPr>
          <t>단상자</t>
        </r>
        <r>
          <rPr>
            <b/>
            <sz val="9"/>
            <color indexed="81"/>
            <rFont val="Tahoma"/>
            <family val="2"/>
          </rPr>
          <t>297+</t>
        </r>
        <r>
          <rPr>
            <b/>
            <sz val="9"/>
            <color indexed="81"/>
            <rFont val="돋움"/>
            <family val="3"/>
            <charset val="129"/>
          </rPr>
          <t>인서트</t>
        </r>
        <r>
          <rPr>
            <b/>
            <sz val="9"/>
            <color indexed="81"/>
            <rFont val="Tahoma"/>
            <family val="2"/>
          </rPr>
          <t>53</t>
        </r>
      </text>
    </comment>
    <comment ref="X104" authorId="1" shapeId="0" xr:uid="{00000000-0006-0000-0200-00004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스패츌러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V108" authorId="0" shapeId="0" xr:uid="{00000000-0006-0000-0200-000046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297+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44+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165</t>
        </r>
      </text>
    </comment>
    <comment ref="X108" authorId="1" shapeId="0" xr:uid="{00000000-0006-0000-0200-000047000000}">
      <text>
        <r>
          <rPr>
            <b/>
            <sz val="9"/>
            <color indexed="81"/>
            <rFont val="Tahoma"/>
            <family val="2"/>
          </rPr>
          <t xml:space="preserve">User: 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 xml:space="preserve">,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130*1.1=143, 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17*1.1=18.7</t>
        </r>
      </text>
    </comment>
    <comment ref="X109" authorId="1" shapeId="0" xr:uid="{00000000-0006-0000-0200-00004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</text>
    </comment>
    <comment ref="X110" authorId="1" shapeId="0" xr:uid="{00000000-0006-0000-0200-000049000000}">
      <text>
        <r>
          <rPr>
            <sz val="9"/>
            <color indexed="81"/>
            <rFont val="돋움"/>
            <family val="3"/>
            <charset val="129"/>
          </rPr>
          <t>라벨추가</t>
        </r>
        <r>
          <rPr>
            <sz val="9"/>
            <color indexed="81"/>
            <rFont val="Tahoma"/>
            <family val="2"/>
          </rPr>
          <t xml:space="preserve"> 140*1.1=154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앞</t>
        </r>
        <r>
          <rPr>
            <sz val="9"/>
            <color indexed="81"/>
            <rFont val="Tahoma"/>
            <family val="2"/>
          </rPr>
          <t>77(</t>
        </r>
        <r>
          <rPr>
            <sz val="9"/>
            <color indexed="81"/>
            <rFont val="돋움"/>
            <family val="3"/>
            <charset val="129"/>
          </rPr>
          <t>흰색바탕</t>
        </r>
        <r>
          <rPr>
            <sz val="9"/>
            <color indexed="81"/>
            <rFont val="Tahoma"/>
            <family val="2"/>
          </rPr>
          <t xml:space="preserve">), </t>
        </r>
        <r>
          <rPr>
            <sz val="9"/>
            <color indexed="81"/>
            <rFont val="돋움"/>
            <family val="3"/>
            <charset val="129"/>
          </rPr>
          <t>뒤</t>
        </r>
        <r>
          <rPr>
            <sz val="9"/>
            <color indexed="81"/>
            <rFont val="Tahoma"/>
            <family val="2"/>
          </rPr>
          <t>77(</t>
        </r>
        <r>
          <rPr>
            <sz val="9"/>
            <color indexed="81"/>
            <rFont val="돋움"/>
            <family val="3"/>
            <charset val="129"/>
          </rPr>
          <t>투명</t>
        </r>
        <r>
          <rPr>
            <sz val="9"/>
            <color indexed="81"/>
            <rFont val="Tahoma"/>
            <family val="2"/>
          </rPr>
          <t xml:space="preserve">), </t>
        </r>
        <r>
          <rPr>
            <sz val="9"/>
            <color indexed="81"/>
            <rFont val="돋움"/>
            <family val="3"/>
            <charset val="129"/>
          </rPr>
          <t>봉합라벨</t>
        </r>
        <r>
          <rPr>
            <sz val="9"/>
            <color indexed="81"/>
            <rFont val="Tahoma"/>
            <family val="2"/>
          </rPr>
          <t xml:space="preserve"> 5*1.1=5.5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111" authorId="1" shapeId="0" xr:uid="{00000000-0006-0000-0200-00004A000000}">
      <text>
        <r>
          <rPr>
            <b/>
            <sz val="9"/>
            <color indexed="81"/>
            <rFont val="Tahoma"/>
            <family val="2"/>
          </rPr>
          <t xml:space="preserve">User: 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스패츌러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90*1.1=99, </t>
        </r>
        <r>
          <rPr>
            <b/>
            <sz val="9"/>
            <color indexed="81"/>
            <rFont val="돋움"/>
            <family val="3"/>
            <charset val="129"/>
          </rPr>
          <t>스패출러</t>
        </r>
        <r>
          <rPr>
            <b/>
            <sz val="9"/>
            <color indexed="81"/>
            <rFont val="Tahoma"/>
            <family val="2"/>
          </rPr>
          <t xml:space="preserve"> 44</t>
        </r>
      </text>
    </comment>
    <comment ref="V112" authorId="0" shapeId="0" xr:uid="{00000000-0006-0000-0200-00004B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396+</t>
        </r>
        <r>
          <rPr>
            <b/>
            <sz val="9"/>
            <color indexed="81"/>
            <rFont val="돋움"/>
            <family val="3"/>
            <charset val="129"/>
          </rPr>
          <t>펌프</t>
        </r>
        <r>
          <rPr>
            <b/>
            <sz val="9"/>
            <color indexed="81"/>
            <rFont val="Tahoma"/>
            <family val="2"/>
          </rPr>
          <t>418</t>
        </r>
      </text>
    </comment>
    <comment ref="X112" authorId="1" shapeId="0" xr:uid="{00000000-0006-0000-0200-00004C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 xml:space="preserve"> 130*1.1=143</t>
        </r>
      </text>
    </comment>
    <comment ref="V113" authorId="0" shapeId="0" xr:uid="{00000000-0006-0000-0200-00004D000000}">
      <text>
        <r>
          <rPr>
            <b/>
            <sz val="9"/>
            <color indexed="81"/>
            <rFont val="돋움"/>
            <family val="3"/>
            <charset val="129"/>
          </rPr>
          <t>안느턴키</t>
        </r>
      </text>
    </comment>
    <comment ref="V114" authorId="0" shapeId="0" xr:uid="{00000000-0006-0000-0200-00004E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203.5+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44+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71.5</t>
        </r>
      </text>
    </comment>
    <comment ref="X114" authorId="1" shapeId="0" xr:uid="{00000000-0006-0000-0200-00004F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
라벨</t>
        </r>
        <r>
          <rPr>
            <b/>
            <sz val="9"/>
            <color indexed="81"/>
            <rFont val="Tahoma"/>
            <family val="2"/>
          </rPr>
          <t xml:space="preserve"> 110*1.1=121,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17</t>
        </r>
        <r>
          <rPr>
            <b/>
            <sz val="9"/>
            <color indexed="81"/>
            <rFont val="돋움"/>
            <family val="3"/>
            <charset val="129"/>
          </rPr>
          <t>원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부가세포함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V115" authorId="0" shapeId="0" xr:uid="{00000000-0006-0000-0200-000050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203.5+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44+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71.5</t>
        </r>
      </text>
    </comment>
    <comment ref="X115" authorId="1" shapeId="0" xr:uid="{00000000-0006-0000-0200-00005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
라벨</t>
        </r>
        <r>
          <rPr>
            <b/>
            <sz val="9"/>
            <color indexed="81"/>
            <rFont val="Tahoma"/>
            <family val="2"/>
          </rPr>
          <t xml:space="preserve"> 110*1.1=121,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17</t>
        </r>
        <r>
          <rPr>
            <b/>
            <sz val="9"/>
            <color indexed="81"/>
            <rFont val="돋움"/>
            <family val="3"/>
            <charset val="129"/>
          </rPr>
          <t>원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부가세포함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V116" authorId="0" shapeId="0" xr:uid="{00000000-0006-0000-0200-000052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203.5+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44+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71.5</t>
        </r>
      </text>
    </comment>
    <comment ref="X116" authorId="1" shapeId="0" xr:uid="{00000000-0006-0000-0200-00005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
라벨</t>
        </r>
        <r>
          <rPr>
            <b/>
            <sz val="9"/>
            <color indexed="81"/>
            <rFont val="Tahoma"/>
            <family val="2"/>
          </rPr>
          <t xml:space="preserve"> 110*1.1=121,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17</t>
        </r>
        <r>
          <rPr>
            <b/>
            <sz val="9"/>
            <color indexed="81"/>
            <rFont val="돋움"/>
            <family val="3"/>
            <charset val="129"/>
          </rPr>
          <t>원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부가세포함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V117" authorId="0" shapeId="0" xr:uid="{00000000-0006-0000-0200-000054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203.5+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44+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71.5</t>
        </r>
      </text>
    </comment>
    <comment ref="X117" authorId="1" shapeId="0" xr:uid="{00000000-0006-0000-0200-00005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
라벨</t>
        </r>
        <r>
          <rPr>
            <b/>
            <sz val="9"/>
            <color indexed="81"/>
            <rFont val="Tahoma"/>
            <family val="2"/>
          </rPr>
          <t xml:space="preserve"> 110*1.1=121,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17</t>
        </r>
        <r>
          <rPr>
            <b/>
            <sz val="9"/>
            <color indexed="81"/>
            <rFont val="돋움"/>
            <family val="3"/>
            <charset val="129"/>
          </rPr>
          <t>원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부가세포함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V118" authorId="0" shapeId="0" xr:uid="{00000000-0006-0000-0200-000056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203.5+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44+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71.5</t>
        </r>
      </text>
    </comment>
    <comment ref="X118" authorId="1" shapeId="0" xr:uid="{00000000-0006-0000-0200-00005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
라벨</t>
        </r>
        <r>
          <rPr>
            <b/>
            <sz val="9"/>
            <color indexed="81"/>
            <rFont val="Tahoma"/>
            <family val="2"/>
          </rPr>
          <t xml:space="preserve"> 110*1.1=121,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17</t>
        </r>
        <r>
          <rPr>
            <b/>
            <sz val="9"/>
            <color indexed="81"/>
            <rFont val="돋움"/>
            <family val="3"/>
            <charset val="129"/>
          </rPr>
          <t>원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부가세포함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X122" authorId="1" shapeId="0" xr:uid="{00000000-0006-0000-0200-00005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돋움"/>
            <family val="3"/>
            <charset val="129"/>
          </rPr>
          <t>라벨추가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상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하라벨</t>
        </r>
        <r>
          <rPr>
            <sz val="9"/>
            <color indexed="81"/>
            <rFont val="Tahoma"/>
            <family val="2"/>
          </rPr>
          <t xml:space="preserve"> 140*1.1=154</t>
        </r>
      </text>
    </comment>
    <comment ref="X123" authorId="1" shapeId="0" xr:uid="{00000000-0006-0000-0200-000059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돋움"/>
            <family val="3"/>
            <charset val="129"/>
          </rPr>
          <t>라벨추가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상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하라벨</t>
        </r>
        <r>
          <rPr>
            <sz val="9"/>
            <color indexed="81"/>
            <rFont val="Tahoma"/>
            <family val="2"/>
          </rPr>
          <t xml:space="preserve"> 140*1.1=154</t>
        </r>
      </text>
    </comment>
    <comment ref="X124" authorId="1" shapeId="0" xr:uid="{00000000-0006-0000-0200-00005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돋움"/>
            <family val="3"/>
            <charset val="129"/>
          </rPr>
          <t>라벨추가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상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하라벨</t>
        </r>
        <r>
          <rPr>
            <sz val="9"/>
            <color indexed="81"/>
            <rFont val="Tahoma"/>
            <family val="2"/>
          </rPr>
          <t xml:space="preserve"> 140*1.1=154</t>
        </r>
      </text>
    </comment>
    <comment ref="X127" authorId="1" shapeId="0" xr:uid="{00000000-0006-0000-0200-00005B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 xml:space="preserve"> 13*1.1=14.3</t>
        </r>
      </text>
    </comment>
    <comment ref="X128" authorId="1" shapeId="0" xr:uid="{00000000-0006-0000-0200-00005C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 xml:space="preserve"> 13*1.1=14.3</t>
        </r>
      </text>
    </comment>
    <comment ref="X129" authorId="1" shapeId="0" xr:uid="{00000000-0006-0000-0200-00005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2</t>
        </r>
        <r>
          <rPr>
            <b/>
            <sz val="9"/>
            <color indexed="81"/>
            <rFont val="돋움"/>
            <family val="3"/>
            <charset val="129"/>
          </rPr>
          <t>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 xml:space="preserve"> 200*1.1=220, </t>
        </r>
        <r>
          <rPr>
            <b/>
            <sz val="9"/>
            <color indexed="81"/>
            <rFont val="돋움"/>
            <family val="3"/>
            <charset val="129"/>
          </rPr>
          <t>윗라벨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옆라벨</t>
        </r>
        <r>
          <rPr>
            <b/>
            <sz val="9"/>
            <color indexed="81"/>
            <rFont val="Tahoma"/>
            <family val="2"/>
          </rPr>
          <t xml:space="preserve">.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F129" authorId="0" shapeId="0" xr:uid="{00000000-0006-0000-0200-00005E000000}">
      <text>
        <r>
          <rPr>
            <b/>
            <sz val="9"/>
            <color indexed="81"/>
            <rFont val="돋움"/>
            <family val="3"/>
            <charset val="129"/>
          </rPr>
          <t>이영준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용기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상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돋움"/>
            <family val="3"/>
            <charset val="129"/>
          </rPr>
          <t>하짝</t>
        </r>
        <r>
          <rPr>
            <sz val="9"/>
            <color indexed="81"/>
            <rFont val="Tahoma"/>
            <family val="2"/>
          </rPr>
          <t>)+</t>
        </r>
        <r>
          <rPr>
            <sz val="9"/>
            <color indexed="81"/>
            <rFont val="돋움"/>
            <family val="3"/>
            <charset val="129"/>
          </rPr>
          <t>실링지</t>
        </r>
        <r>
          <rPr>
            <sz val="9"/>
            <color indexed="81"/>
            <rFont val="Tahoma"/>
            <family val="2"/>
          </rPr>
          <t>+</t>
        </r>
        <r>
          <rPr>
            <sz val="9"/>
            <color indexed="81"/>
            <rFont val="돋움"/>
            <family val="3"/>
            <charset val="129"/>
          </rPr>
          <t>부직포</t>
        </r>
      </text>
    </comment>
    <comment ref="AL129" authorId="0" shapeId="0" xr:uid="{00000000-0006-0000-0200-00005F000000}">
      <text>
        <r>
          <rPr>
            <b/>
            <sz val="9"/>
            <color indexed="81"/>
            <rFont val="돋움"/>
            <family val="3"/>
            <charset val="129"/>
          </rPr>
          <t>이영준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80 + </t>
        </r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120</t>
        </r>
      </text>
    </comment>
    <comment ref="AR129" authorId="0" shapeId="0" xr:uid="{00000000-0006-0000-0200-000060000000}">
      <text>
        <r>
          <rPr>
            <b/>
            <sz val="9"/>
            <color indexed="81"/>
            <rFont val="돋움"/>
            <family val="3"/>
            <charset val="129"/>
          </rPr>
          <t>단가인하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협상</t>
        </r>
        <r>
          <rPr>
            <b/>
            <sz val="9"/>
            <color indexed="81"/>
            <rFont val="Tahoma"/>
            <family val="2"/>
          </rPr>
          <t>:
-5</t>
        </r>
        <r>
          <rPr>
            <b/>
            <sz val="9"/>
            <color indexed="81"/>
            <rFont val="돋움"/>
            <family val="3"/>
            <charset val="129"/>
          </rPr>
          <t>원</t>
        </r>
        <r>
          <rPr>
            <b/>
            <sz val="9"/>
            <color indexed="81"/>
            <rFont val="Tahoma"/>
            <family val="2"/>
          </rPr>
          <t>(VAT</t>
        </r>
        <r>
          <rPr>
            <b/>
            <sz val="9"/>
            <color indexed="81"/>
            <rFont val="돋움"/>
            <family val="3"/>
            <charset val="129"/>
          </rPr>
          <t>포함</t>
        </r>
        <r>
          <rPr>
            <b/>
            <sz val="9"/>
            <color indexed="81"/>
            <rFont val="Tahoma"/>
            <family val="2"/>
          </rPr>
          <t>)</t>
        </r>
      </text>
    </comment>
    <comment ref="V130" authorId="0" shapeId="0" xr:uid="{00000000-0006-0000-0200-000061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330+</t>
        </r>
        <r>
          <rPr>
            <b/>
            <sz val="9"/>
            <color indexed="81"/>
            <rFont val="돋움"/>
            <family val="3"/>
            <charset val="129"/>
          </rPr>
          <t>펌프</t>
        </r>
        <r>
          <rPr>
            <b/>
            <sz val="9"/>
            <color indexed="81"/>
            <rFont val="Tahoma"/>
            <family val="2"/>
          </rPr>
          <t>363</t>
        </r>
      </text>
    </comment>
    <comment ref="X130" authorId="1" shapeId="0" xr:uid="{00000000-0006-0000-0200-00006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
라벨</t>
        </r>
        <r>
          <rPr>
            <b/>
            <sz val="9"/>
            <color indexed="81"/>
            <rFont val="Tahoma"/>
            <family val="2"/>
          </rPr>
          <t xml:space="preserve"> 140*1.1=154, 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11*1.1=12.1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131" authorId="0" shapeId="0" xr:uid="{00000000-0006-0000-0200-000063000000}">
      <text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베스트솔류선턴키</t>
        </r>
        <r>
          <rPr>
            <b/>
            <sz val="9"/>
            <color indexed="81"/>
            <rFont val="Tahoma"/>
            <family val="2"/>
          </rPr>
          <t>)10*1.1</t>
        </r>
      </text>
    </comment>
    <comment ref="X132" authorId="1" shapeId="0" xr:uid="{00000000-0006-0000-0200-00006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>, 150*1.1=165</t>
        </r>
      </text>
    </comment>
    <comment ref="X133" authorId="1" shapeId="0" xr:uid="{00000000-0006-0000-0200-00006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>. 14*1.1=15.4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134" authorId="1" shapeId="0" xr:uid="{00000000-0006-0000-0200-00006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>, 150*1.1=165</t>
        </r>
      </text>
    </comment>
    <comment ref="X135" authorId="1" shapeId="0" xr:uid="{00000000-0006-0000-0200-00006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>, 130*1.1=143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136" authorId="1" shapeId="0" xr:uid="{00000000-0006-0000-0200-00006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>, 130*1.1=143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137" authorId="1" shapeId="0" xr:uid="{00000000-0006-0000-0200-000069000000}">
      <text>
        <r>
          <rPr>
            <b/>
            <sz val="9"/>
            <color indexed="81"/>
            <rFont val="돋움"/>
            <family val="3"/>
            <charset val="129"/>
          </rPr>
          <t>라벨
전면라벨</t>
        </r>
        <r>
          <rPr>
            <b/>
            <sz val="9"/>
            <color indexed="81"/>
            <rFont val="Tahoma"/>
            <family val="2"/>
          </rPr>
          <t xml:space="preserve">90*1.1
</t>
        </r>
        <r>
          <rPr>
            <b/>
            <sz val="9"/>
            <color indexed="81"/>
            <rFont val="돋움"/>
            <family val="3"/>
            <charset val="129"/>
          </rPr>
          <t>후면라벨</t>
        </r>
        <r>
          <rPr>
            <b/>
            <sz val="9"/>
            <color indexed="81"/>
            <rFont val="Tahoma"/>
            <family val="2"/>
          </rPr>
          <t>90*1.1</t>
        </r>
      </text>
    </comment>
    <comment ref="X138" authorId="2" shapeId="0" xr:uid="{00000000-0006-0000-0200-00006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HT</t>
        </r>
        <r>
          <rPr>
            <sz val="9"/>
            <color indexed="81"/>
            <rFont val="돋움"/>
            <family val="3"/>
            <charset val="129"/>
          </rPr>
          <t>작업비</t>
        </r>
      </text>
    </comment>
    <comment ref="X139" authorId="0" shapeId="0" xr:uid="{00000000-0006-0000-0200-00006B000000}">
      <text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>220</t>
        </r>
      </text>
    </comment>
    <comment ref="W143" authorId="0" shapeId="0" xr:uid="{00000000-0006-0000-0200-00006C000000}">
      <text>
        <r>
          <rPr>
            <b/>
            <sz val="9"/>
            <color indexed="81"/>
            <rFont val="Tahoma"/>
            <family val="2"/>
          </rPr>
          <t>1000</t>
        </r>
        <r>
          <rPr>
            <b/>
            <sz val="9"/>
            <color indexed="81"/>
            <rFont val="돋움"/>
            <family val="3"/>
            <charset val="129"/>
          </rPr>
          <t xml:space="preserve">개진행시
</t>
        </r>
        <r>
          <rPr>
            <b/>
            <sz val="9"/>
            <color indexed="81"/>
            <rFont val="Tahoma"/>
            <family val="2"/>
          </rPr>
          <t>:155*1.1</t>
        </r>
      </text>
    </comment>
    <comment ref="X144" authorId="1" shapeId="0" xr:uid="{00000000-0006-0000-0200-00006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3</t>
        </r>
        <r>
          <rPr>
            <b/>
            <sz val="9"/>
            <color indexed="81"/>
            <rFont val="돋움"/>
            <family val="3"/>
            <charset val="129"/>
          </rPr>
          <t>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국문라벨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캡라벨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옆라벨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145" authorId="1" shapeId="0" xr:uid="{00000000-0006-0000-0200-00006E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>. 5</t>
        </r>
        <r>
          <rPr>
            <b/>
            <sz val="9"/>
            <color indexed="81"/>
            <rFont val="돋움"/>
            <family val="3"/>
            <charset val="129"/>
          </rPr>
          <t>천개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견적</t>
        </r>
        <r>
          <rPr>
            <b/>
            <sz val="9"/>
            <color indexed="81"/>
            <rFont val="Tahoma"/>
            <family val="2"/>
          </rPr>
          <t xml:space="preserve"> 100*1.1=110</t>
        </r>
      </text>
    </comment>
    <comment ref="W146" authorId="0" shapeId="0" xr:uid="{00000000-0006-0000-0200-00006F000000}">
      <text>
        <r>
          <rPr>
            <b/>
            <sz val="9"/>
            <color indexed="81"/>
            <rFont val="돋움"/>
            <family val="3"/>
            <charset val="129"/>
          </rPr>
          <t>단상자</t>
        </r>
        <r>
          <rPr>
            <b/>
            <sz val="9"/>
            <color indexed="81"/>
            <rFont val="Tahoma"/>
            <family val="2"/>
          </rPr>
          <t>396+</t>
        </r>
        <r>
          <rPr>
            <b/>
            <sz val="9"/>
            <color indexed="81"/>
            <rFont val="돋움"/>
            <family val="3"/>
            <charset val="129"/>
          </rPr>
          <t>인서트</t>
        </r>
        <r>
          <rPr>
            <b/>
            <sz val="9"/>
            <color indexed="81"/>
            <rFont val="Tahoma"/>
            <family val="2"/>
          </rPr>
          <t>127</t>
        </r>
      </text>
    </comment>
    <comment ref="V148" authorId="0" shapeId="0" xr:uid="{00000000-0006-0000-0200-000070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 xml:space="preserve">750*1.1
</t>
        </r>
        <r>
          <rPr>
            <b/>
            <sz val="9"/>
            <color indexed="81"/>
            <rFont val="돋움"/>
            <family val="3"/>
            <charset val="129"/>
          </rPr>
          <t>스푼</t>
        </r>
        <r>
          <rPr>
            <b/>
            <sz val="9"/>
            <color indexed="81"/>
            <rFont val="Tahoma"/>
            <family val="2"/>
          </rPr>
          <t xml:space="preserve">50*1.1
</t>
        </r>
        <r>
          <rPr>
            <b/>
            <sz val="9"/>
            <color indexed="81"/>
            <rFont val="돋움"/>
            <family val="3"/>
            <charset val="129"/>
          </rPr>
          <t>카톤</t>
        </r>
        <r>
          <rPr>
            <b/>
            <sz val="9"/>
            <color indexed="81"/>
            <rFont val="Tahoma"/>
            <family val="2"/>
          </rPr>
          <t>10*1.1</t>
        </r>
      </text>
    </comment>
    <comment ref="AF148" authorId="0" shapeId="0" xr:uid="{00000000-0006-0000-0200-000071000000}">
      <text>
        <r>
          <rPr>
            <b/>
            <sz val="9"/>
            <color indexed="81"/>
            <rFont val="돋움"/>
            <family val="3"/>
            <charset val="129"/>
          </rPr>
          <t>이영준</t>
        </r>
        <r>
          <rPr>
            <b/>
            <sz val="9"/>
            <color indexed="81"/>
            <rFont val="Tahoma"/>
            <family val="2"/>
          </rPr>
          <t xml:space="preserve">: VAT </t>
        </r>
        <r>
          <rPr>
            <b/>
            <sz val="9"/>
            <color indexed="81"/>
            <rFont val="돋움"/>
            <family val="3"/>
            <charset val="129"/>
          </rPr>
          <t>별도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+</t>
        </r>
        <r>
          <rPr>
            <b/>
            <sz val="9"/>
            <color indexed="81"/>
            <rFont val="돋움"/>
            <family val="3"/>
            <charset val="129"/>
          </rPr>
          <t>리드</t>
        </r>
        <r>
          <rPr>
            <b/>
            <sz val="9"/>
            <color indexed="81"/>
            <rFont val="Tahoma"/>
            <family val="2"/>
          </rPr>
          <t xml:space="preserve"> = 750
</t>
        </r>
        <r>
          <rPr>
            <b/>
            <sz val="9"/>
            <color indexed="81"/>
            <rFont val="돋움"/>
            <family val="3"/>
            <charset val="129"/>
          </rPr>
          <t>스패츌러</t>
        </r>
        <r>
          <rPr>
            <b/>
            <sz val="9"/>
            <color indexed="81"/>
            <rFont val="Tahoma"/>
            <family val="2"/>
          </rPr>
          <t xml:space="preserve"> : 50</t>
        </r>
      </text>
    </comment>
    <comment ref="X149" authorId="1" shapeId="0" xr:uid="{00000000-0006-0000-0200-00007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 xml:space="preserve"> 60*1.1=66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150" authorId="1" shapeId="0" xr:uid="{00000000-0006-0000-0200-00007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 xml:space="preserve"> 60*1.1=66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W151" authorId="1" shapeId="0" xr:uid="{00000000-0006-0000-0200-00007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소수점차이</t>
        </r>
        <r>
          <rPr>
            <sz val="9"/>
            <color indexed="81"/>
            <rFont val="Tahoma"/>
            <family val="2"/>
          </rPr>
          <t xml:space="preserve"> 156*1.1=171.6</t>
        </r>
      </text>
    </comment>
    <comment ref="V164" authorId="0" shapeId="0" xr:uid="{00000000-0006-0000-0200-000075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308+</t>
        </r>
        <r>
          <rPr>
            <b/>
            <sz val="9"/>
            <color indexed="81"/>
            <rFont val="돋움"/>
            <family val="3"/>
            <charset val="129"/>
          </rPr>
          <t>박킹</t>
        </r>
        <r>
          <rPr>
            <b/>
            <sz val="9"/>
            <color indexed="81"/>
            <rFont val="Tahoma"/>
            <family val="2"/>
          </rPr>
          <t>44+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88</t>
        </r>
      </text>
    </comment>
    <comment ref="X164" authorId="0" shapeId="0" xr:uid="{00000000-0006-0000-0200-000076000000}">
      <text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198
</t>
        </r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>19</t>
        </r>
      </text>
    </comment>
    <comment ref="X165" authorId="0" shapeId="0" xr:uid="{00000000-0006-0000-0200-000077000000}">
      <text>
        <r>
          <rPr>
            <b/>
            <sz val="9"/>
            <color indexed="81"/>
            <rFont val="돋움"/>
            <family val="3"/>
            <charset val="129"/>
          </rPr>
          <t>수축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베스트솔류선턴키</t>
        </r>
        <r>
          <rPr>
            <b/>
            <sz val="9"/>
            <color indexed="81"/>
            <rFont val="Tahoma"/>
            <family val="2"/>
          </rPr>
          <t xml:space="preserve">)10*1.1
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385
</t>
        </r>
        <r>
          <rPr>
            <b/>
            <sz val="9"/>
            <color indexed="81"/>
            <rFont val="돋움"/>
            <family val="3"/>
            <charset val="129"/>
          </rPr>
          <t>사은품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패드</t>
        </r>
        <r>
          <rPr>
            <b/>
            <sz val="9"/>
            <color indexed="81"/>
            <rFont val="Tahoma"/>
            <family val="2"/>
          </rPr>
          <t>)820</t>
        </r>
      </text>
    </comment>
    <comment ref="V166" authorId="0" shapeId="0" xr:uid="{00000000-0006-0000-0200-000078000000}">
      <text>
        <r>
          <rPr>
            <b/>
            <sz val="9"/>
            <color indexed="81"/>
            <rFont val="돋움"/>
            <family val="3"/>
            <charset val="129"/>
          </rPr>
          <t>내장크림튜브</t>
        </r>
      </text>
    </comment>
    <comment ref="W166" authorId="0" shapeId="0" xr:uid="{00000000-0006-0000-0200-000079000000}">
      <text>
        <r>
          <rPr>
            <b/>
            <sz val="9"/>
            <color indexed="81"/>
            <rFont val="돋움"/>
            <family val="3"/>
            <charset val="129"/>
          </rPr>
          <t>기본단상자</t>
        </r>
        <r>
          <rPr>
            <b/>
            <sz val="9"/>
            <color indexed="81"/>
            <rFont val="Tahoma"/>
            <family val="2"/>
          </rPr>
          <t xml:space="preserve">473(171212)
</t>
        </r>
        <r>
          <rPr>
            <b/>
            <sz val="9"/>
            <color indexed="81"/>
            <rFont val="돋움"/>
            <family val="3"/>
            <charset val="129"/>
          </rPr>
          <t>세트단상자</t>
        </r>
        <r>
          <rPr>
            <b/>
            <sz val="9"/>
            <color indexed="81"/>
            <rFont val="Tahoma"/>
            <family val="2"/>
          </rPr>
          <t>374</t>
        </r>
      </text>
    </comment>
    <comment ref="X166" authorId="0" shapeId="0" xr:uid="{00000000-0006-0000-0200-00007A000000}">
      <text>
        <r>
          <rPr>
            <b/>
            <sz val="9"/>
            <color indexed="81"/>
            <rFont val="Tahoma"/>
            <family val="2"/>
          </rPr>
          <t>pop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88
</t>
        </r>
        <r>
          <rPr>
            <b/>
            <sz val="9"/>
            <color indexed="81"/>
            <rFont val="돋움"/>
            <family val="3"/>
            <charset val="129"/>
          </rPr>
          <t>내장크림내용물</t>
        </r>
        <r>
          <rPr>
            <b/>
            <sz val="9"/>
            <color indexed="81"/>
            <rFont val="Tahoma"/>
            <family val="2"/>
          </rPr>
          <t xml:space="preserve">847
3D </t>
        </r>
        <r>
          <rPr>
            <b/>
            <sz val="9"/>
            <color indexed="81"/>
            <rFont val="돋움"/>
            <family val="3"/>
            <charset val="129"/>
          </rPr>
          <t>롤러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라벨</t>
        </r>
        <r>
          <rPr>
            <b/>
            <sz val="9"/>
            <color indexed="81"/>
            <rFont val="Tahoma"/>
            <family val="2"/>
          </rPr>
          <t xml:space="preserve"> 11</t>
        </r>
      </text>
    </comment>
    <comment ref="X168" authorId="1" shapeId="0" xr:uid="{00000000-0006-0000-0200-00007B000000}">
      <text>
        <r>
          <rPr>
            <sz val="9"/>
            <color indexed="81"/>
            <rFont val="돋움"/>
            <family val="3"/>
            <charset val="129"/>
          </rPr>
          <t>이중라벨</t>
        </r>
        <r>
          <rPr>
            <sz val="9"/>
            <color indexed="81"/>
            <rFont val="Tahoma"/>
            <family val="2"/>
          </rPr>
          <t>182+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 xml:space="preserve"> 13*1.1=14.3</t>
        </r>
      </text>
    </comment>
    <comment ref="X169" authorId="1" shapeId="0" xr:uid="{00000000-0006-0000-0200-00007C000000}">
      <text>
        <r>
          <rPr>
            <sz val="9"/>
            <color indexed="81"/>
            <rFont val="돋움"/>
            <family val="3"/>
            <charset val="129"/>
          </rPr>
          <t>이중라벨</t>
        </r>
        <r>
          <rPr>
            <sz val="9"/>
            <color indexed="81"/>
            <rFont val="Tahoma"/>
            <family val="2"/>
          </rPr>
          <t>275+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</t>
        </r>
        <r>
          <rPr>
            <sz val="9"/>
            <color indexed="81"/>
            <rFont val="Tahoma"/>
            <family val="2"/>
          </rPr>
          <t xml:space="preserve"> 13*1.1=14.3</t>
        </r>
      </text>
    </comment>
    <comment ref="W170" authorId="1" shapeId="0" xr:uid="{00000000-0006-0000-0200-00007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소수점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차이</t>
        </r>
        <r>
          <rPr>
            <sz val="9"/>
            <color indexed="81"/>
            <rFont val="Tahoma"/>
            <family val="2"/>
          </rPr>
          <t>. 135*1.1=148.5</t>
        </r>
      </text>
    </comment>
    <comment ref="V171" authorId="1" shapeId="0" xr:uid="{00000000-0006-0000-0200-00007E000000}">
      <text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418+</t>
        </r>
        <r>
          <rPr>
            <b/>
            <sz val="9"/>
            <color indexed="81"/>
            <rFont val="돋움"/>
            <family val="3"/>
            <charset val="129"/>
          </rPr>
          <t>캡</t>
        </r>
        <r>
          <rPr>
            <b/>
            <sz val="9"/>
            <color indexed="81"/>
            <rFont val="Tahoma"/>
            <family val="2"/>
          </rPr>
          <t>121+</t>
        </r>
        <r>
          <rPr>
            <b/>
            <sz val="9"/>
            <color indexed="81"/>
            <rFont val="돋움"/>
            <family val="3"/>
            <charset val="129"/>
          </rPr>
          <t>실</t>
        </r>
        <r>
          <rPr>
            <b/>
            <sz val="9"/>
            <color indexed="81"/>
            <rFont val="Tahoma"/>
            <family val="2"/>
          </rPr>
          <t>49.5</t>
        </r>
      </text>
    </comment>
    <comment ref="X172" authorId="2" shapeId="0" xr:uid="{00000000-0006-0000-0200-00007F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: 5.2
</t>
        </r>
      </text>
    </comment>
    <comment ref="X173" authorId="2" shapeId="0" xr:uid="{00000000-0006-0000-0200-000080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: 5.2
</t>
        </r>
      </text>
    </comment>
    <comment ref="V184" authorId="2" shapeId="0" xr:uid="{00000000-0006-0000-0200-000081000000}">
      <text>
        <r>
          <rPr>
            <b/>
            <sz val="9"/>
            <color indexed="81"/>
            <rFont val="Tahoma"/>
            <family val="2"/>
          </rPr>
          <t>user:
270(</t>
        </r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)+170(</t>
        </r>
        <r>
          <rPr>
            <b/>
            <sz val="9"/>
            <color indexed="81"/>
            <rFont val="돋움"/>
            <family val="3"/>
            <charset val="129"/>
          </rPr>
          <t>펌프</t>
        </r>
        <r>
          <rPr>
            <b/>
            <sz val="9"/>
            <color indexed="81"/>
            <rFont val="Tahoma"/>
            <family val="2"/>
          </rPr>
          <t xml:space="preserve">)
</t>
        </r>
      </text>
    </comment>
    <comment ref="V185" authorId="2" shapeId="0" xr:uid="{00000000-0006-0000-0200-000082000000}">
      <text>
        <r>
          <rPr>
            <b/>
            <sz val="9"/>
            <color indexed="81"/>
            <rFont val="Tahoma"/>
            <family val="2"/>
          </rPr>
          <t>user:
270(</t>
        </r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)+170(</t>
        </r>
        <r>
          <rPr>
            <b/>
            <sz val="9"/>
            <color indexed="81"/>
            <rFont val="돋움"/>
            <family val="3"/>
            <charset val="129"/>
          </rPr>
          <t>펌프</t>
        </r>
        <r>
          <rPr>
            <b/>
            <sz val="9"/>
            <color indexed="81"/>
            <rFont val="Tahoma"/>
            <family val="2"/>
          </rPr>
          <t xml:space="preserve">)
</t>
        </r>
      </text>
    </comment>
    <comment ref="V186" authorId="2" shapeId="0" xr:uid="{00000000-0006-0000-0200-000083000000}">
      <text>
        <r>
          <rPr>
            <b/>
            <sz val="9"/>
            <color indexed="81"/>
            <rFont val="Tahoma"/>
            <family val="2"/>
          </rPr>
          <t>user:
270(</t>
        </r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)+170(</t>
        </r>
        <r>
          <rPr>
            <b/>
            <sz val="9"/>
            <color indexed="81"/>
            <rFont val="돋움"/>
            <family val="3"/>
            <charset val="129"/>
          </rPr>
          <t>펌프</t>
        </r>
        <r>
          <rPr>
            <b/>
            <sz val="9"/>
            <color indexed="81"/>
            <rFont val="Tahoma"/>
            <family val="2"/>
          </rPr>
          <t xml:space="preserve">)
</t>
        </r>
      </text>
    </comment>
    <comment ref="V187" authorId="2" shapeId="0" xr:uid="{00000000-0006-0000-0200-000084000000}">
      <text>
        <r>
          <rPr>
            <b/>
            <sz val="9"/>
            <color indexed="81"/>
            <rFont val="Tahoma"/>
            <family val="2"/>
          </rPr>
          <t>user:
270(</t>
        </r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)+170(</t>
        </r>
        <r>
          <rPr>
            <b/>
            <sz val="9"/>
            <color indexed="81"/>
            <rFont val="돋움"/>
            <family val="3"/>
            <charset val="129"/>
          </rPr>
          <t>펌프</t>
        </r>
        <r>
          <rPr>
            <b/>
            <sz val="9"/>
            <color indexed="81"/>
            <rFont val="Tahoma"/>
            <family val="2"/>
          </rPr>
          <t xml:space="preserve">)
</t>
        </r>
      </text>
    </comment>
    <comment ref="V188" authorId="2" shapeId="0" xr:uid="{00000000-0006-0000-0200-000085000000}">
      <text>
        <r>
          <rPr>
            <b/>
            <sz val="9"/>
            <color indexed="81"/>
            <rFont val="Tahoma"/>
            <family val="2"/>
          </rPr>
          <t>user:
270(</t>
        </r>
        <r>
          <rPr>
            <b/>
            <sz val="9"/>
            <color indexed="81"/>
            <rFont val="돋움"/>
            <family val="3"/>
            <charset val="129"/>
          </rPr>
          <t>용기</t>
        </r>
        <r>
          <rPr>
            <b/>
            <sz val="9"/>
            <color indexed="81"/>
            <rFont val="Tahoma"/>
            <family val="2"/>
          </rPr>
          <t>)+170(</t>
        </r>
        <r>
          <rPr>
            <b/>
            <sz val="9"/>
            <color indexed="81"/>
            <rFont val="돋움"/>
            <family val="3"/>
            <charset val="129"/>
          </rPr>
          <t>펌프</t>
        </r>
        <r>
          <rPr>
            <b/>
            <sz val="9"/>
            <color indexed="81"/>
            <rFont val="Tahoma"/>
            <family val="2"/>
          </rPr>
          <t xml:space="preserve">)
</t>
        </r>
      </text>
    </comment>
    <comment ref="V189" authorId="2" shapeId="0" xr:uid="{00000000-0006-0000-0200-00008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참프라텍</t>
        </r>
        <r>
          <rPr>
            <sz val="9"/>
            <color indexed="81"/>
            <rFont val="Tahoma"/>
            <family val="2"/>
          </rPr>
          <t xml:space="preserve"> 308</t>
        </r>
        <r>
          <rPr>
            <sz val="9"/>
            <color indexed="81"/>
            <rFont val="돋움"/>
            <family val="3"/>
            <charset val="129"/>
          </rPr>
          <t>원
메종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퍼퓸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바디워스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용기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  <r>
          <rPr>
            <sz val="9"/>
            <color indexed="81"/>
            <rFont val="Tahoma"/>
            <family val="2"/>
          </rPr>
          <t xml:space="preserve">(16.2.1)
</t>
        </r>
      </text>
    </comment>
    <comment ref="X189" authorId="2" shapeId="0" xr:uid="{00000000-0006-0000-0200-00008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170.5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코스필드</t>
        </r>
        <r>
          <rPr>
            <sz val="9"/>
            <color indexed="81"/>
            <rFont val="Tahoma"/>
            <family val="2"/>
          </rPr>
          <t xml:space="preserve">)
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19.8(</t>
        </r>
        <r>
          <rPr>
            <sz val="9"/>
            <color indexed="81"/>
            <rFont val="돋움"/>
            <family val="3"/>
            <charset val="129"/>
          </rPr>
          <t>조양플라스틱</t>
        </r>
        <r>
          <rPr>
            <sz val="9"/>
            <color indexed="81"/>
            <rFont val="Tahoma"/>
            <family val="2"/>
          </rPr>
          <t>)</t>
        </r>
      </text>
    </comment>
    <comment ref="V190" authorId="2" shapeId="0" xr:uid="{00000000-0006-0000-0200-00008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참프라텍</t>
        </r>
        <r>
          <rPr>
            <sz val="9"/>
            <color indexed="81"/>
            <rFont val="Tahoma"/>
            <family val="2"/>
          </rPr>
          <t xml:space="preserve"> 308</t>
        </r>
        <r>
          <rPr>
            <sz val="9"/>
            <color indexed="81"/>
            <rFont val="돋움"/>
            <family val="3"/>
            <charset val="129"/>
          </rPr>
          <t>원
메종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퍼퓸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바디워스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용기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  <r>
          <rPr>
            <sz val="9"/>
            <color indexed="81"/>
            <rFont val="Tahoma"/>
            <family val="2"/>
          </rPr>
          <t xml:space="preserve">(16.2.1)
</t>
        </r>
      </text>
    </comment>
    <comment ref="X190" authorId="2" shapeId="0" xr:uid="{00000000-0006-0000-0200-000089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170.5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코스필드</t>
        </r>
        <r>
          <rPr>
            <sz val="9"/>
            <color indexed="81"/>
            <rFont val="Tahoma"/>
            <family val="2"/>
          </rPr>
          <t xml:space="preserve">)
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19.8(</t>
        </r>
        <r>
          <rPr>
            <sz val="9"/>
            <color indexed="81"/>
            <rFont val="돋움"/>
            <family val="3"/>
            <charset val="129"/>
          </rPr>
          <t>조양플라스틱</t>
        </r>
        <r>
          <rPr>
            <sz val="9"/>
            <color indexed="81"/>
            <rFont val="Tahoma"/>
            <family val="2"/>
          </rPr>
          <t>)</t>
        </r>
      </text>
    </comment>
    <comment ref="V191" authorId="2" shapeId="0" xr:uid="{00000000-0006-0000-0200-00008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참프라텍</t>
        </r>
        <r>
          <rPr>
            <sz val="9"/>
            <color indexed="81"/>
            <rFont val="Tahoma"/>
            <family val="2"/>
          </rPr>
          <t xml:space="preserve"> 308</t>
        </r>
        <r>
          <rPr>
            <sz val="9"/>
            <color indexed="81"/>
            <rFont val="돋움"/>
            <family val="3"/>
            <charset val="129"/>
          </rPr>
          <t>원
메종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퍼퓸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바디워스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용기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  <r>
          <rPr>
            <sz val="9"/>
            <color indexed="81"/>
            <rFont val="Tahoma"/>
            <family val="2"/>
          </rPr>
          <t xml:space="preserve">(16.2.1)
</t>
        </r>
      </text>
    </comment>
    <comment ref="X191" authorId="2" shapeId="0" xr:uid="{00000000-0006-0000-0200-00008B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170.5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코스필드</t>
        </r>
        <r>
          <rPr>
            <sz val="9"/>
            <color indexed="81"/>
            <rFont val="Tahoma"/>
            <family val="2"/>
          </rPr>
          <t xml:space="preserve">)
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19.8(</t>
        </r>
        <r>
          <rPr>
            <sz val="9"/>
            <color indexed="81"/>
            <rFont val="돋움"/>
            <family val="3"/>
            <charset val="129"/>
          </rPr>
          <t>조양플라스틱</t>
        </r>
        <r>
          <rPr>
            <sz val="9"/>
            <color indexed="81"/>
            <rFont val="Tahoma"/>
            <family val="2"/>
          </rPr>
          <t>)</t>
        </r>
      </text>
    </comment>
    <comment ref="V192" authorId="2" shapeId="0" xr:uid="{00000000-0006-0000-0200-00008C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참프라텍</t>
        </r>
        <r>
          <rPr>
            <sz val="9"/>
            <color indexed="81"/>
            <rFont val="Tahoma"/>
            <family val="2"/>
          </rPr>
          <t xml:space="preserve"> 308</t>
        </r>
        <r>
          <rPr>
            <sz val="9"/>
            <color indexed="81"/>
            <rFont val="돋움"/>
            <family val="3"/>
            <charset val="129"/>
          </rPr>
          <t>원
메종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퍼퓸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바디워스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용기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  <r>
          <rPr>
            <sz val="9"/>
            <color indexed="81"/>
            <rFont val="Tahoma"/>
            <family val="2"/>
          </rPr>
          <t xml:space="preserve">(16.2.1)
</t>
        </r>
      </text>
    </comment>
    <comment ref="X192" authorId="2" shapeId="0" xr:uid="{00000000-0006-0000-0200-00008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170.5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코스필드</t>
        </r>
        <r>
          <rPr>
            <sz val="9"/>
            <color indexed="81"/>
            <rFont val="Tahoma"/>
            <family val="2"/>
          </rPr>
          <t xml:space="preserve">)
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19.8(</t>
        </r>
        <r>
          <rPr>
            <sz val="9"/>
            <color indexed="81"/>
            <rFont val="돋움"/>
            <family val="3"/>
            <charset val="129"/>
          </rPr>
          <t>조양플라스틱</t>
        </r>
        <r>
          <rPr>
            <sz val="9"/>
            <color indexed="81"/>
            <rFont val="Tahoma"/>
            <family val="2"/>
          </rPr>
          <t>)</t>
        </r>
      </text>
    </comment>
    <comment ref="V193" authorId="2" shapeId="0" xr:uid="{00000000-0006-0000-0200-00008E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참프라텍</t>
        </r>
        <r>
          <rPr>
            <sz val="9"/>
            <color indexed="81"/>
            <rFont val="Tahoma"/>
            <family val="2"/>
          </rPr>
          <t xml:space="preserve"> 308</t>
        </r>
        <r>
          <rPr>
            <sz val="9"/>
            <color indexed="81"/>
            <rFont val="돋움"/>
            <family val="3"/>
            <charset val="129"/>
          </rPr>
          <t>원
메종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퍼퓸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바디워스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용기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가격으로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  <r>
          <rPr>
            <sz val="9"/>
            <color indexed="81"/>
            <rFont val="Tahoma"/>
            <family val="2"/>
          </rPr>
          <t xml:space="preserve">(16.2.1)
</t>
        </r>
      </text>
    </comment>
    <comment ref="X193" authorId="2" shapeId="0" xr:uid="{00000000-0006-0000-0200-00008F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 xml:space="preserve"> 170.5</t>
        </r>
        <r>
          <rPr>
            <sz val="9"/>
            <color indexed="81"/>
            <rFont val="돋움"/>
            <family val="3"/>
            <charset val="129"/>
          </rPr>
          <t>원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코스필드</t>
        </r>
        <r>
          <rPr>
            <sz val="9"/>
            <color indexed="81"/>
            <rFont val="Tahoma"/>
            <family val="2"/>
          </rPr>
          <t xml:space="preserve">)
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 19.8(</t>
        </r>
        <r>
          <rPr>
            <sz val="9"/>
            <color indexed="81"/>
            <rFont val="돋움"/>
            <family val="3"/>
            <charset val="129"/>
          </rPr>
          <t>조양플라스틱</t>
        </r>
        <r>
          <rPr>
            <sz val="9"/>
            <color indexed="81"/>
            <rFont val="Tahoma"/>
            <family val="2"/>
          </rPr>
          <t>)</t>
        </r>
      </text>
    </comment>
    <comment ref="X194" authorId="2" shapeId="0" xr:uid="{00000000-0006-0000-0200-000090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198(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>)+20(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)
</t>
        </r>
      </text>
    </comment>
    <comment ref="X195" authorId="2" shapeId="0" xr:uid="{00000000-0006-0000-0200-00009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198(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>)+20(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)
</t>
        </r>
      </text>
    </comment>
    <comment ref="X196" authorId="2" shapeId="0" xr:uid="{00000000-0006-0000-0200-00009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198(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>)+20(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)
</t>
        </r>
      </text>
    </comment>
    <comment ref="X197" authorId="2" shapeId="0" xr:uid="{00000000-0006-0000-0200-00009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198(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>)+20(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)
</t>
        </r>
      </text>
    </comment>
    <comment ref="X198" authorId="2" shapeId="0" xr:uid="{00000000-0006-0000-0200-00009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198(</t>
        </r>
        <r>
          <rPr>
            <sz val="9"/>
            <color indexed="81"/>
            <rFont val="돋움"/>
            <family val="3"/>
            <charset val="129"/>
          </rPr>
          <t>라벨</t>
        </r>
        <r>
          <rPr>
            <sz val="9"/>
            <color indexed="81"/>
            <rFont val="Tahoma"/>
            <family val="2"/>
          </rPr>
          <t>)+20(</t>
        </r>
        <r>
          <rPr>
            <sz val="9"/>
            <color indexed="81"/>
            <rFont val="돋움"/>
            <family val="3"/>
            <charset val="129"/>
          </rPr>
          <t>수축</t>
        </r>
        <r>
          <rPr>
            <sz val="9"/>
            <color indexed="81"/>
            <rFont val="Tahoma"/>
            <family val="2"/>
          </rPr>
          <t xml:space="preserve">)
</t>
        </r>
      </text>
    </comment>
  </commentList>
</comments>
</file>

<file path=xl/sharedStrings.xml><?xml version="1.0" encoding="utf-8"?>
<sst xmlns="http://schemas.openxmlformats.org/spreadsheetml/2006/main" count="2750" uniqueCount="645">
  <si>
    <t>유형</t>
    <phoneticPr fontId="4" type="noConversion"/>
  </si>
  <si>
    <t>라인</t>
    <phoneticPr fontId="4" type="noConversion"/>
  </si>
  <si>
    <t>임가공</t>
    <phoneticPr fontId="4" type="noConversion"/>
  </si>
  <si>
    <t>용기</t>
    <phoneticPr fontId="5" type="noConversion"/>
  </si>
  <si>
    <t>단상자</t>
    <phoneticPr fontId="5" type="noConversion"/>
  </si>
  <si>
    <t>기타</t>
    <phoneticPr fontId="5" type="noConversion"/>
  </si>
  <si>
    <t>베이스</t>
    <phoneticPr fontId="4" type="noConversion"/>
  </si>
  <si>
    <t>미라클핏</t>
    <phoneticPr fontId="4" type="noConversion"/>
  </si>
  <si>
    <t>g</t>
    <phoneticPr fontId="6" type="noConversion"/>
  </si>
  <si>
    <t>안느</t>
    <phoneticPr fontId="4" type="noConversion"/>
  </si>
  <si>
    <t>엔코스</t>
  </si>
  <si>
    <t>태림기업</t>
  </si>
  <si>
    <t>에스겔</t>
  </si>
  <si>
    <t>한국화장품</t>
  </si>
  <si>
    <t>다우</t>
    <phoneticPr fontId="4" type="noConversion"/>
  </si>
  <si>
    <t>아이</t>
    <phoneticPr fontId="4" type="noConversion"/>
  </si>
  <si>
    <t>ml</t>
    <phoneticPr fontId="6" type="noConversion"/>
  </si>
  <si>
    <t xml:space="preserve">트윙클 </t>
    <phoneticPr fontId="4" type="noConversion"/>
  </si>
  <si>
    <t>미금산업사</t>
  </si>
  <si>
    <t>립</t>
    <phoneticPr fontId="4" type="noConversion"/>
  </si>
  <si>
    <t>YS(중국)</t>
    <phoneticPr fontId="4" type="noConversion"/>
  </si>
  <si>
    <t>아이코맥스</t>
    <phoneticPr fontId="4" type="noConversion"/>
  </si>
  <si>
    <t>스윗글램</t>
    <phoneticPr fontId="4" type="noConversion"/>
  </si>
  <si>
    <t>HS(중국)</t>
    <phoneticPr fontId="4" type="noConversion"/>
  </si>
  <si>
    <t>해밀</t>
  </si>
  <si>
    <t>미금산업사</t>
    <phoneticPr fontId="4" type="noConversion"/>
  </si>
  <si>
    <t>리무버</t>
    <phoneticPr fontId="4" type="noConversion"/>
  </si>
  <si>
    <t>우신</t>
  </si>
  <si>
    <t>에스씨하이테크</t>
    <phoneticPr fontId="4" type="noConversion"/>
  </si>
  <si>
    <t>스노우화이트</t>
    <phoneticPr fontId="4" type="noConversion"/>
  </si>
  <si>
    <t>에스씨하이테크</t>
  </si>
  <si>
    <t>프리코스</t>
  </si>
  <si>
    <t>태광유리</t>
    <phoneticPr fontId="4" type="noConversion"/>
  </si>
  <si>
    <t>태광유리</t>
  </si>
  <si>
    <t>한국화장품</t>
    <phoneticPr fontId="4" type="noConversion"/>
  </si>
  <si>
    <t>에이케이팩</t>
    <phoneticPr fontId="4" type="noConversion"/>
  </si>
  <si>
    <t>블랙아웃포어</t>
    <phoneticPr fontId="4" type="noConversion"/>
  </si>
  <si>
    <t>엔코스</t>
    <phoneticPr fontId="4" type="noConversion"/>
  </si>
  <si>
    <t>우신</t>
    <phoneticPr fontId="4" type="noConversion"/>
  </si>
  <si>
    <t>탄력/영양</t>
    <phoneticPr fontId="4" type="noConversion"/>
  </si>
  <si>
    <t>24K골드</t>
    <phoneticPr fontId="4" type="noConversion"/>
  </si>
  <si>
    <t>씨네이크</t>
    <phoneticPr fontId="4" type="noConversion"/>
  </si>
  <si>
    <t>탄력/보습</t>
    <phoneticPr fontId="4" type="noConversion"/>
  </si>
  <si>
    <t>스네일리페어링</t>
    <phoneticPr fontId="4" type="noConversion"/>
  </si>
  <si>
    <t>보습/
브라이트닝</t>
    <phoneticPr fontId="4" type="noConversion"/>
  </si>
  <si>
    <t>스타팅트리트먼트</t>
    <phoneticPr fontId="4" type="noConversion"/>
  </si>
  <si>
    <t>태림기업</t>
    <phoneticPr fontId="4" type="noConversion"/>
  </si>
  <si>
    <t>청진</t>
    <phoneticPr fontId="4" type="noConversion"/>
  </si>
  <si>
    <t>수분</t>
    <phoneticPr fontId="4" type="noConversion"/>
  </si>
  <si>
    <t>히알루론</t>
    <phoneticPr fontId="4" type="noConversion"/>
  </si>
  <si>
    <t>그린팩</t>
  </si>
  <si>
    <t>로즈 워터</t>
    <phoneticPr fontId="4" type="noConversion"/>
  </si>
  <si>
    <t>클리어</t>
    <phoneticPr fontId="4" type="noConversion"/>
  </si>
  <si>
    <t>고보습</t>
    <phoneticPr fontId="4" type="noConversion"/>
  </si>
  <si>
    <t>허그미</t>
    <phoneticPr fontId="4" type="noConversion"/>
  </si>
  <si>
    <t>프레시토너</t>
    <phoneticPr fontId="4" type="noConversion"/>
  </si>
  <si>
    <t>재생</t>
    <phoneticPr fontId="4" type="noConversion"/>
  </si>
  <si>
    <t>멀티셀</t>
    <phoneticPr fontId="4" type="noConversion"/>
  </si>
  <si>
    <t>클렌징</t>
    <phoneticPr fontId="4" type="noConversion"/>
  </si>
  <si>
    <t>레몬스파클링</t>
    <phoneticPr fontId="4" type="noConversion"/>
  </si>
  <si>
    <t>베스트솔루션</t>
    <phoneticPr fontId="4" type="noConversion"/>
  </si>
  <si>
    <t>디자인정글</t>
  </si>
  <si>
    <t>헤어</t>
    <phoneticPr fontId="4" type="noConversion"/>
  </si>
  <si>
    <t>소패스트</t>
    <phoneticPr fontId="4" type="noConversion"/>
  </si>
  <si>
    <t xml:space="preserve">뮤코팅 </t>
    <phoneticPr fontId="4" type="noConversion"/>
  </si>
  <si>
    <t>선</t>
    <phoneticPr fontId="4" type="noConversion"/>
  </si>
  <si>
    <t>타나카</t>
    <phoneticPr fontId="4" type="noConversion"/>
  </si>
  <si>
    <t>패치</t>
    <phoneticPr fontId="4" type="noConversion"/>
  </si>
  <si>
    <t>미스킨</t>
  </si>
  <si>
    <t>미스킨</t>
    <phoneticPr fontId="4" type="noConversion"/>
  </si>
  <si>
    <t>에스겔</t>
    <phoneticPr fontId="4" type="noConversion"/>
  </si>
  <si>
    <t>JIMY</t>
  </si>
  <si>
    <t>ea</t>
    <phoneticPr fontId="6" type="noConversion"/>
  </si>
  <si>
    <t>조인티엔피</t>
  </si>
  <si>
    <t>대진알미늄</t>
  </si>
  <si>
    <t>NAMA(중국)</t>
    <phoneticPr fontId="4" type="noConversion"/>
  </si>
  <si>
    <t>상운</t>
  </si>
  <si>
    <t>민성</t>
  </si>
  <si>
    <t>우신팩</t>
  </si>
  <si>
    <t>상운</t>
    <phoneticPr fontId="4" type="noConversion"/>
  </si>
  <si>
    <t>민성</t>
    <phoneticPr fontId="4" type="noConversion"/>
  </si>
  <si>
    <t>지앤아이</t>
  </si>
  <si>
    <t>ea</t>
  </si>
  <si>
    <t>스키니</t>
    <phoneticPr fontId="4" type="noConversion"/>
  </si>
  <si>
    <t xml:space="preserve">타투아이 </t>
    <phoneticPr fontId="4" type="noConversion"/>
  </si>
  <si>
    <t>쿠션</t>
    <phoneticPr fontId="4" type="noConversion"/>
  </si>
  <si>
    <t>기능성
마스크</t>
    <phoneticPr fontId="4" type="noConversion"/>
  </si>
  <si>
    <t>스페셜</t>
    <phoneticPr fontId="4" type="noConversion"/>
  </si>
  <si>
    <t>내용물</t>
    <phoneticPr fontId="4" type="noConversion"/>
  </si>
  <si>
    <t>블랙포어</t>
    <phoneticPr fontId="4" type="noConversion"/>
  </si>
  <si>
    <t>패치
마스크</t>
    <phoneticPr fontId="4" type="noConversion"/>
  </si>
  <si>
    <t>?</t>
    <phoneticPr fontId="4" type="noConversion"/>
  </si>
  <si>
    <t>단가</t>
    <phoneticPr fontId="4" type="noConversion"/>
  </si>
  <si>
    <t>용기</t>
    <phoneticPr fontId="4" type="noConversion"/>
  </si>
  <si>
    <t>단상자</t>
    <phoneticPr fontId="4" type="noConversion"/>
  </si>
  <si>
    <t>용량</t>
    <phoneticPr fontId="4" type="noConversion"/>
  </si>
  <si>
    <t>안느</t>
  </si>
  <si>
    <t>청진</t>
  </si>
  <si>
    <t>제조
위탁</t>
    <phoneticPr fontId="4" type="noConversion"/>
  </si>
  <si>
    <t>생산비</t>
    <phoneticPr fontId="4" type="noConversion"/>
  </si>
  <si>
    <t>타투립</t>
    <phoneticPr fontId="4" type="noConversion"/>
  </si>
  <si>
    <t>피팅
포에버
립스틱</t>
    <phoneticPr fontId="4" type="noConversion"/>
  </si>
  <si>
    <t>모공
케어</t>
    <phoneticPr fontId="4" type="noConversion"/>
  </si>
  <si>
    <t>안티에이징&amp;
화이트닝</t>
    <phoneticPr fontId="4" type="noConversion"/>
  </si>
  <si>
    <t>코스메카</t>
    <phoneticPr fontId="4" type="noConversion"/>
  </si>
  <si>
    <t>내용</t>
    <phoneticPr fontId="4" type="noConversion"/>
  </si>
  <si>
    <t>품목코드</t>
    <phoneticPr fontId="4" type="noConversion"/>
  </si>
  <si>
    <t>협의완료:지앤아이 단가 원단위 절사(-2원)</t>
  </si>
  <si>
    <t>협의완료:지앤아이 단가 원단위 절사(-2원)</t>
    <phoneticPr fontId="4" type="noConversion"/>
  </si>
  <si>
    <t>신제품 단가적용(안느) / 단상자:사양추가로 단가 상승</t>
    <phoneticPr fontId="4" type="noConversion"/>
  </si>
  <si>
    <t>신제품 단가적용(안느)</t>
    <phoneticPr fontId="4" type="noConversion"/>
  </si>
  <si>
    <t>협의완료:충진 단가 네고(-35원) / 단상자:사양추가로 단가 상승</t>
  </si>
  <si>
    <t>협의완료:충진 단가 네고(-35원) / 단상자:사양추가로 단가 상승</t>
    <phoneticPr fontId="4" type="noConversion"/>
  </si>
  <si>
    <t>신제품단가 적용(지앤아이), 용기(턴키) 단가 수정</t>
  </si>
  <si>
    <t>신제품단가 적용(지앤아이), 용기(턴키) 단가 수정</t>
    <phoneticPr fontId="4" type="noConversion"/>
  </si>
  <si>
    <t>신제품단가 적용 : 충진, 용기, 단상자</t>
  </si>
  <si>
    <t>신제품단가 적용 : 충진, 용기, 단상자</t>
    <phoneticPr fontId="4" type="noConversion"/>
  </si>
  <si>
    <t>충진업체변경(한국화장품→안느) 단가 적용 / 단상자:사양추가로 단가 상승</t>
    <phoneticPr fontId="4" type="noConversion"/>
  </si>
  <si>
    <t>네고불가: 충진-기존유지 / 단상자 기존유지(상운)</t>
    <phoneticPr fontId="4" type="noConversion"/>
  </si>
  <si>
    <t>네고불가: 충진-기존유지 / 용기,단상자 기존유지</t>
    <phoneticPr fontId="4" type="noConversion"/>
  </si>
  <si>
    <t>충진업체변경(지앤아이→아이코맥스) 단가 적용 / 네고불가:용기, 단상자 기존유지</t>
    <phoneticPr fontId="4" type="noConversion"/>
  </si>
  <si>
    <t>신제품 단가적용(아이코맥스) / 네고불가:용기, 단상자 기존유지</t>
    <phoneticPr fontId="4" type="noConversion"/>
  </si>
  <si>
    <t>충진업체변경:엔코스→씨엔티드림(1.375원) / 네고불가-용기,단상자 기존 유지</t>
  </si>
  <si>
    <t>협의 완료-제안가수용(에스겔) / 네고불가:용기,단상자 기존 유지</t>
  </si>
  <si>
    <t>네고불가: 충진-기존유지 / 용기,단상자 기존 유지</t>
  </si>
  <si>
    <t>네고불가:거래종료(네이디,에스코스), 기존 적용</t>
  </si>
  <si>
    <t>네고불가:거래종료, 기존 적용</t>
  </si>
  <si>
    <t>협의완료:충진단가 원단위절사(-2원) / 네고불가:용기,단상자 기존 유지</t>
  </si>
  <si>
    <t>협의완료:충진단가 네고(-10원) / 네고불가:용기,단상자 기존 유지</t>
  </si>
  <si>
    <t>네고불가:충진 기존 유지 / 용기,단상자 기존 유지</t>
  </si>
  <si>
    <t>네고불가:충진 기존 유지 / 네고불가 용기,단상자 기존 유지</t>
  </si>
  <si>
    <t>네고불가:충진 기존 유지 / 네고불가 용기 기존 유지</t>
  </si>
  <si>
    <t>네고불가:충진 기존 유지 / 네고불가 단상자 기존 유지</t>
  </si>
  <si>
    <t>협의완료:충진단가 네고(-11원) / 네고불가: 용기 기존 유지</t>
    <phoneticPr fontId="4" type="noConversion"/>
  </si>
  <si>
    <t>협의완료:충진단가 네고(-33원) / 네고불가:용기,단상자 기존 유지</t>
  </si>
  <si>
    <t>협의완료:충진단가 네고(-33원) / 네고불가:용기,단상자 기존 유지</t>
    <phoneticPr fontId="4" type="noConversion"/>
  </si>
  <si>
    <t>협의완료-충진 제안가수용(에스겔), 네고불가:용기,단상자 기존 유지</t>
  </si>
  <si>
    <t>협의완료-충진 제안가수용(에스겔), 네고불가:용기,단상자 기존 유지</t>
    <phoneticPr fontId="4" type="noConversion"/>
  </si>
  <si>
    <t>협의완료:충진단가 네고(-11원) / 네고불가: 용기,단상자 기존 유지</t>
    <phoneticPr fontId="4" type="noConversion"/>
  </si>
  <si>
    <t>협의완료:충진단가 네고(-22원) / 네고불가:용기 기존 유지</t>
    <phoneticPr fontId="4" type="noConversion"/>
  </si>
  <si>
    <t>협의완료:충진단가 네고(-27원) / 네고불가:용기 기존 유지</t>
    <phoneticPr fontId="4" type="noConversion"/>
  </si>
  <si>
    <t>협의완료:충진단가 네고(-22원) / 네고불가: 용기,단상자 기존 유지</t>
    <phoneticPr fontId="4" type="noConversion"/>
  </si>
  <si>
    <t>네고불가:충진 기존 유지 / 용기,단상자 기존 유지</t>
    <phoneticPr fontId="4" type="noConversion"/>
  </si>
  <si>
    <t>협의완료:충진단가 네고(-44원) / 네고불가:용기 기존 유지</t>
    <phoneticPr fontId="4" type="noConversion"/>
  </si>
  <si>
    <t>협의완료:충진단가 네고(-53원) / 네고불가:용기 기존 유지</t>
    <phoneticPr fontId="4" type="noConversion"/>
  </si>
  <si>
    <t>협의완료:충진단가 네고(-33원) / 네고불가:부자재-용기,단상자 기존 유지</t>
    <phoneticPr fontId="4" type="noConversion"/>
  </si>
  <si>
    <t>협의완료:충진단가 네고(-55원) / 네고불가:용기 기존 유지</t>
  </si>
  <si>
    <t>협의완료:충진단가 네고(-20원) / 네고불가:용기,단상자 기존 유지</t>
  </si>
  <si>
    <t>협의완료:충진단가 네고(-36원) / 네고불가:용기 기존 유지</t>
  </si>
  <si>
    <t>협의완료-충진 제안가수용(에스겔), 네고불가:용기 기존 유지</t>
  </si>
  <si>
    <t>협의완료:충진단가 네고(-5원) / 네고불가:용기,단상자 기존 유지</t>
  </si>
  <si>
    <t>협의완료:충진단가 네고(-40원) / 네고불가:용기 기존 유지</t>
  </si>
  <si>
    <t>네고불가:충진 단가 인상(+176원,원료변경) / 네고불가: 용기 기존 유지</t>
  </si>
  <si>
    <t>네고불가:충진 단가 인상(+44원,원료변경) / 네고불가: 용기 기존 유지</t>
  </si>
  <si>
    <t>네고불가:충진 단가 인상(+154원,원료변경) / 네고불가: 용기 기존 유지</t>
  </si>
  <si>
    <t>네고불가:충진 단가 인상(+33원,원료변경) / 네고불가: 용기,단상자 기존 유지</t>
    <phoneticPr fontId="4" type="noConversion"/>
  </si>
  <si>
    <t>네고불가:충진 기존 유지 / 용기 기존 유지</t>
    <phoneticPr fontId="4" type="noConversion"/>
  </si>
  <si>
    <t>협의완료-충진 제안가수용(에스겔), / 네고불가:용기,단상자 기존 유지</t>
    <phoneticPr fontId="4" type="noConversion"/>
  </si>
  <si>
    <t>협의완료:충진단가 네고(-4원) / 네고불가:단상자 기존 유지</t>
    <phoneticPr fontId="4" type="noConversion"/>
  </si>
  <si>
    <t>협의완료:충진단가 네고(-32원) / 네고불가:용기,단상자 기존 유지</t>
    <phoneticPr fontId="4" type="noConversion"/>
  </si>
  <si>
    <t>턴키(미스킨</t>
    <phoneticPr fontId="4" type="noConversion"/>
  </si>
  <si>
    <t>턴키</t>
    <phoneticPr fontId="4" type="noConversion"/>
  </si>
  <si>
    <t>거원</t>
    <phoneticPr fontId="4" type="noConversion"/>
  </si>
  <si>
    <t>턴키(우신</t>
    <phoneticPr fontId="4" type="noConversion"/>
  </si>
  <si>
    <t>비알코스</t>
    <phoneticPr fontId="4" type="noConversion"/>
  </si>
  <si>
    <t>네고불가:충진 기존 유지(ERP등록단가 오류) / 용기,단상자 기존 유지</t>
    <phoneticPr fontId="4" type="noConversion"/>
  </si>
  <si>
    <t>네이디</t>
    <phoneticPr fontId="4" type="noConversion"/>
  </si>
  <si>
    <t>에스코스</t>
    <phoneticPr fontId="4" type="noConversion"/>
  </si>
  <si>
    <t>충진 :신제품 단가 적용-기존 라쿠니 패치 동일단가(용기턴키) / 단상자 신제품 단가</t>
    <phoneticPr fontId="4" type="noConversion"/>
  </si>
  <si>
    <t>충진-기존유지 / 용기,단상자-기존유지 /퍼프(-33) 단가인하</t>
    <phoneticPr fontId="4" type="noConversion"/>
  </si>
  <si>
    <t>소비자가</t>
  </si>
  <si>
    <t>B2B</t>
  </si>
  <si>
    <t>B2C</t>
  </si>
  <si>
    <t>이익률</t>
  </si>
  <si>
    <t>이익률</t>
    <phoneticPr fontId="4" type="noConversion"/>
  </si>
  <si>
    <t>(단위 : 원, 부가세포함)</t>
    <phoneticPr fontId="4" type="noConversion"/>
  </si>
  <si>
    <t>네고불가: 거래종료, 생산업체 미정 기존단가 적용</t>
  </si>
  <si>
    <t>네고불가: 거래종료, 생산업체 미정 기존단가 적용</t>
    <phoneticPr fontId="4" type="noConversion"/>
  </si>
  <si>
    <t>프레시 알로에 수딩 모이스트 토너(대용량)</t>
  </si>
  <si>
    <t>ml</t>
  </si>
  <si>
    <t>g</t>
  </si>
  <si>
    <t>협의완료:충진단가 네고(-8원) / 네고불가:용기 기존 유지</t>
    <phoneticPr fontId="4" type="noConversion"/>
  </si>
  <si>
    <t>롤러단가 기존유지 / 단상자 협의완료 : 단가네고(-111원)</t>
    <phoneticPr fontId="4" type="noConversion"/>
  </si>
  <si>
    <t>(충진)(C)로즈 워터 오일 클리어 파우더(1400)_안느</t>
    <phoneticPr fontId="4" type="noConversion"/>
  </si>
  <si>
    <t>ERP 품목정보 없음</t>
  </si>
  <si>
    <t>네고불가:충진-기존유지 / 네고불가:용기(턴키), 단상자 기존유지</t>
    <phoneticPr fontId="4" type="noConversion"/>
  </si>
  <si>
    <t>대분류</t>
    <phoneticPr fontId="4" type="noConversion"/>
  </si>
  <si>
    <t>색조</t>
    <phoneticPr fontId="4" type="noConversion"/>
  </si>
  <si>
    <t>마스크시트&amp;패치</t>
    <phoneticPr fontId="4" type="noConversion"/>
  </si>
  <si>
    <t>뷰티툴</t>
    <phoneticPr fontId="4" type="noConversion"/>
  </si>
  <si>
    <t>기초</t>
    <phoneticPr fontId="4" type="noConversion"/>
  </si>
  <si>
    <t>트러블</t>
    <phoneticPr fontId="4" type="noConversion"/>
  </si>
  <si>
    <t>비베놈AC</t>
    <phoneticPr fontId="4" type="noConversion"/>
  </si>
  <si>
    <t>스타팅</t>
    <phoneticPr fontId="4" type="noConversion"/>
  </si>
  <si>
    <t>원가</t>
    <phoneticPr fontId="4" type="noConversion"/>
  </si>
  <si>
    <t>차익</t>
    <phoneticPr fontId="4" type="noConversion"/>
  </si>
  <si>
    <t>평균26%</t>
    <phoneticPr fontId="4" type="noConversion"/>
  </si>
  <si>
    <t>평균60%</t>
    <phoneticPr fontId="4" type="noConversion"/>
  </si>
  <si>
    <t>ml</t>
    <phoneticPr fontId="4" type="noConversion"/>
  </si>
  <si>
    <t>ea</t>
    <phoneticPr fontId="4" type="noConversion"/>
  </si>
  <si>
    <t>피팅포에버
쉐도우</t>
  </si>
  <si>
    <t>화이트닝/톤업</t>
    <phoneticPr fontId="4" type="noConversion"/>
  </si>
  <si>
    <t>모공케어</t>
    <phoneticPr fontId="4" type="noConversion"/>
  </si>
  <si>
    <t>안티에이징&amp;화이트닝</t>
    <phoneticPr fontId="4" type="noConversion"/>
  </si>
  <si>
    <t>단력/보습</t>
    <phoneticPr fontId="4" type="noConversion"/>
  </si>
  <si>
    <t>보습/브라이트닝</t>
    <phoneticPr fontId="4" type="noConversion"/>
  </si>
  <si>
    <t>Y 롤러 기획세트(신제품예정)</t>
    <phoneticPr fontId="4" type="noConversion"/>
  </si>
  <si>
    <t>네이처
레시피</t>
  </si>
  <si>
    <t>레몬 스파클링 스틱 클렌저 기획 세트[패드 20매 증정]</t>
  </si>
  <si>
    <t xml:space="preserve"> g</t>
  </si>
  <si>
    <t>롭스기획 1회성</t>
    <phoneticPr fontId="4" type="noConversion"/>
  </si>
  <si>
    <t>쿠팡</t>
    <phoneticPr fontId="4" type="noConversion"/>
  </si>
  <si>
    <t>롭스</t>
    <phoneticPr fontId="4" type="noConversion"/>
  </si>
  <si>
    <t>클렌징</t>
  </si>
  <si>
    <t>레몬스파클링</t>
  </si>
  <si>
    <t>마이크로 3D 페이스 롤러 스페셜 에디션[50g 크림증정]</t>
  </si>
  <si>
    <t>민성/우신팩</t>
    <phoneticPr fontId="4" type="noConversion"/>
  </si>
  <si>
    <t>뷰티툴</t>
  </si>
  <si>
    <t>해외전용</t>
    <phoneticPr fontId="4" type="noConversion"/>
  </si>
  <si>
    <t>스네일</t>
    <phoneticPr fontId="4" type="noConversion"/>
  </si>
  <si>
    <t>(S)레몬 스파클링 클렌징 폼 (해외전용_영문)</t>
  </si>
  <si>
    <t>(S)레몬 스파클링 필링 젤(해외전용_영문)</t>
  </si>
  <si>
    <t>(S)블랙 아웃 포어 필 오프 마스크(해외전용_영문)</t>
  </si>
  <si>
    <t>(S)블랙 아웃 포어 미니마이징 마스크(해외전용_영문)</t>
  </si>
  <si>
    <t>(M)블랙 아웃 포어 3스텝 코팩 5P(해외전용_영문)</t>
  </si>
  <si>
    <t>스네일 리페어링_리페어링 비비크림</t>
    <phoneticPr fontId="4" type="noConversion"/>
  </si>
  <si>
    <t>레몬스파클링</t>
    <phoneticPr fontId="4" type="noConversion"/>
  </si>
  <si>
    <t>블랙포어</t>
    <phoneticPr fontId="4" type="noConversion"/>
  </si>
  <si>
    <t>블랙아웃포어</t>
    <phoneticPr fontId="4" type="noConversion"/>
  </si>
  <si>
    <t>패치마스크</t>
    <phoneticPr fontId="4" type="noConversion"/>
  </si>
  <si>
    <t>모공케어</t>
  </si>
  <si>
    <t>운용 157 SKUs - 색조:66 / 기초:77 / 마스크:11/뷰티툴:3</t>
    <phoneticPr fontId="4" type="noConversion"/>
  </si>
  <si>
    <t>출고가기준</t>
    <phoneticPr fontId="4" type="noConversion"/>
  </si>
  <si>
    <t>KBE</t>
    <phoneticPr fontId="4" type="noConversion"/>
  </si>
  <si>
    <t>구분</t>
  </si>
  <si>
    <t>유형</t>
  </si>
  <si>
    <t>SKUs</t>
  </si>
  <si>
    <t>색조</t>
  </si>
  <si>
    <t>베이스</t>
  </si>
  <si>
    <t>아이</t>
  </si>
  <si>
    <t>립</t>
  </si>
  <si>
    <t>소계</t>
  </si>
  <si>
    <t>기초</t>
  </si>
  <si>
    <t>화이트닝/톤업</t>
  </si>
  <si>
    <t>안티에이징&amp;화이트닝</t>
  </si>
  <si>
    <t>단력/보습</t>
  </si>
  <si>
    <t>보습/브라이트닝</t>
  </si>
  <si>
    <t>탄력/영양</t>
  </si>
  <si>
    <t>수분</t>
  </si>
  <si>
    <t>고보습</t>
  </si>
  <si>
    <t>재생</t>
  </si>
  <si>
    <t>헤어</t>
  </si>
  <si>
    <t>선</t>
  </si>
  <si>
    <t>트러블</t>
  </si>
  <si>
    <t>스페셜</t>
  </si>
  <si>
    <t>마스크시트&amp;패치</t>
  </si>
  <si>
    <t>Total</t>
  </si>
  <si>
    <t>19유형</t>
  </si>
  <si>
    <t>유통채널</t>
    <phoneticPr fontId="4" type="noConversion"/>
  </si>
  <si>
    <t>유형</t>
    <phoneticPr fontId="4" type="noConversion"/>
  </si>
  <si>
    <t>품명</t>
    <phoneticPr fontId="4" type="noConversion"/>
  </si>
  <si>
    <t>Total</t>
    <phoneticPr fontId="4" type="noConversion"/>
  </si>
  <si>
    <t>7유형</t>
    <phoneticPr fontId="4" type="noConversion"/>
  </si>
  <si>
    <t>9 SKUs</t>
    <phoneticPr fontId="4" type="noConversion"/>
  </si>
  <si>
    <t>대분류</t>
  </si>
  <si>
    <t>제품명</t>
  </si>
  <si>
    <t>내역</t>
  </si>
  <si>
    <t>1. 운용품목 BOM리스트 요약</t>
    <phoneticPr fontId="4" type="noConversion"/>
  </si>
  <si>
    <t>2. 채널별 특별운용 품목</t>
    <phoneticPr fontId="4" type="noConversion"/>
  </si>
  <si>
    <t>3. 추가 단종 품목 리스트</t>
    <phoneticPr fontId="4" type="noConversion"/>
  </si>
  <si>
    <t>단상자협의</t>
    <phoneticPr fontId="4" type="noConversion"/>
  </si>
  <si>
    <t>씨엔티드림</t>
    <phoneticPr fontId="4" type="noConversion"/>
  </si>
  <si>
    <t>단가변경18년1월</t>
    <phoneticPr fontId="4" type="noConversion"/>
  </si>
  <si>
    <t>더페이지_페이지 부띠끄 꽁페시옹 앤드 부케</t>
  </si>
  <si>
    <t>더페이지_페이지 부띠끄 러블리 베이비</t>
  </si>
  <si>
    <t>더페이지_페이지 부띠끄 쁘띠 베베</t>
  </si>
  <si>
    <t>더페이지_페이지 부띠끄 상띠르 인 포레스트</t>
  </si>
  <si>
    <t>더페이지_페이지 부띠끄 센슈얼 오알 앙쥬</t>
  </si>
  <si>
    <t>더페이지_페이지 부띠끄 시에스터 앤드 오렌지</t>
  </si>
  <si>
    <t>더페이지_페이지 쁘리에 오브 러블리</t>
  </si>
  <si>
    <t>더페이지 패브릭 퍼퓸 미스트 러블리 베이비</t>
  </si>
  <si>
    <t>더페이지 패브릭 퍼퓸 미스트 쁘띠 베베</t>
  </si>
  <si>
    <t>더페이지 패브릭 퍼퓸 미스트 쁘리에 오브 러블리</t>
  </si>
  <si>
    <t>더페이지 패브릭 퍼퓸 미스트 상띠르 인 포레스트</t>
  </si>
  <si>
    <t>더페이지 패브릭 퍼퓸 미스트 센슈얼 오알 앙쥬</t>
  </si>
  <si>
    <t>더페이지</t>
  </si>
  <si>
    <t>더페이지</t>
    <phoneticPr fontId="4" type="noConversion"/>
  </si>
  <si>
    <t>퍼퓸</t>
  </si>
  <si>
    <t>미스트</t>
  </si>
  <si>
    <t>패브릭</t>
  </si>
  <si>
    <t>더페이지_ 페이지 부띠끄 패브릭 퍼퓸_ 꽁페시옹 앤드 부케</t>
  </si>
  <si>
    <t>더페이지_ 페이지 부띠끄 패브릭 퍼퓸_쁘리에 오브 러블리</t>
  </si>
  <si>
    <t>더페이지_ 페이지 부띠끄 패브릭 퍼퓸_상띠르 인 포레스트</t>
  </si>
  <si>
    <t>더페이지_ 페이지 부띠끄 패브릭 퍼퓸_센슈얼 오알 앙쥬</t>
  </si>
  <si>
    <t>더페이지_ 페이지 부띠끄 패브릭 퍼퓸_시에스터 앤드 오렌지</t>
  </si>
  <si>
    <t>우신팩</t>
    <phoneticPr fontId="4" type="noConversion"/>
  </si>
  <si>
    <t>소진후단종결정171226</t>
    <phoneticPr fontId="4" type="noConversion"/>
  </si>
  <si>
    <t>1 SKUs</t>
    <phoneticPr fontId="4" type="noConversion"/>
  </si>
  <si>
    <t>재고소진 후 단종예정_171226</t>
    <phoneticPr fontId="4" type="noConversion"/>
  </si>
  <si>
    <t>스노우화이트_프리미엄 톤업크림</t>
    <phoneticPr fontId="4" type="noConversion"/>
  </si>
  <si>
    <t>스페셜화이트닝/톤업</t>
    <phoneticPr fontId="4" type="noConversion"/>
  </si>
  <si>
    <t>더페이지 패브릭 퍼퓸_N.03 쁘리에 오브 러블리</t>
    <phoneticPr fontId="4" type="noConversion"/>
  </si>
  <si>
    <t>더페이지 패브릭 퍼퓸_P.04 스킨 머스크</t>
    <phoneticPr fontId="4" type="noConversion"/>
  </si>
  <si>
    <t>더페이지 패브릭 퍼퓸_S.02 퓨어 그린</t>
    <phoneticPr fontId="4" type="noConversion"/>
  </si>
  <si>
    <t>더페이지 패브릭 퍼퓸_W.01 꽁페시옹 앤드 부케</t>
    <phoneticPr fontId="4" type="noConversion"/>
  </si>
  <si>
    <t>더페이지 패브릭 퍼퓸_A.01 라이트 쿨</t>
    <phoneticPr fontId="4" type="noConversion"/>
  </si>
  <si>
    <t>(M)네이처 레시피 마스크팩 티트리(IPSY)</t>
  </si>
  <si>
    <t>g</t>
    <phoneticPr fontId="4" type="noConversion"/>
  </si>
  <si>
    <t>ipsy</t>
    <phoneticPr fontId="4" type="noConversion"/>
  </si>
  <si>
    <t>상품명</t>
    <phoneticPr fontId="4" type="noConversion"/>
  </si>
  <si>
    <t>변경사항</t>
    <phoneticPr fontId="4" type="noConversion"/>
  </si>
  <si>
    <t>비고</t>
    <phoneticPr fontId="4" type="noConversion"/>
  </si>
  <si>
    <t>날짜</t>
    <phoneticPr fontId="4" type="noConversion"/>
  </si>
  <si>
    <t>BOM 수정내역</t>
    <phoneticPr fontId="4" type="noConversion"/>
  </si>
  <si>
    <t>스노우화이트 밀키 크림_톤업</t>
  </si>
  <si>
    <t>스패츌러 변경(태광-&gt;참하이테크 변경_2018.01.05)_50원-&gt;44원</t>
    <phoneticPr fontId="4" type="noConversion"/>
  </si>
  <si>
    <t>(M)네이처 레시피 마스크팩 허니(IPSY)</t>
  </si>
  <si>
    <t>추가</t>
    <phoneticPr fontId="4" type="noConversion"/>
  </si>
  <si>
    <t>네이처
레시피</t>
    <phoneticPr fontId="4" type="noConversion"/>
  </si>
  <si>
    <t>더페이지 패브릭 퍼퓸_N.03 쁘리에 오브 러블리</t>
  </si>
  <si>
    <t>더페이지 패브릭 퍼퓸_P.04 스킨 머스크</t>
  </si>
  <si>
    <t>더페이지 패브릭 퍼퓸_S.02 퓨어 그린</t>
  </si>
  <si>
    <t>더페이지 패브릭 퍼퓸_W.01 꽁페시옹 앤드 부케</t>
  </si>
  <si>
    <t>더페이지 패브릭 퍼퓸_A.01 라이트 쿨</t>
  </si>
  <si>
    <t>소비자가/ 판매단가 ERP 입력 및 수정 필요</t>
    <phoneticPr fontId="4" type="noConversion"/>
  </si>
  <si>
    <t>출고가 13,800원-&gt;12,535원 변경</t>
    <phoneticPr fontId="4" type="noConversion"/>
  </si>
  <si>
    <t>출고가 23,400원-&gt;10,530원 변경</t>
    <phoneticPr fontId="4" type="noConversion"/>
  </si>
  <si>
    <t>롭스는 매월 프로모션 마다 공급가가 변경되어, 최소 공급가로 입력</t>
    <phoneticPr fontId="4" type="noConversion"/>
  </si>
  <si>
    <t>별도리스트업-채널별 특별운용 : 11 SKUs</t>
    <phoneticPr fontId="4" type="noConversion"/>
  </si>
  <si>
    <t>더페이지 - 22SKUs</t>
    <phoneticPr fontId="4" type="noConversion"/>
  </si>
  <si>
    <t>▶더페이지 : 22SKUs</t>
    <phoneticPr fontId="4" type="noConversion"/>
  </si>
  <si>
    <t>■ 제품 BOM_180112</t>
    <phoneticPr fontId="4" type="noConversion"/>
  </si>
  <si>
    <t>더페이지 전 상품</t>
    <phoneticPr fontId="4" type="noConversion"/>
  </si>
  <si>
    <t>B2B 공급율 20% 수정</t>
    <phoneticPr fontId="4" type="noConversion"/>
  </si>
  <si>
    <t>마이크로 3D 페이스 롤러</t>
    <phoneticPr fontId="4" type="noConversion"/>
  </si>
  <si>
    <t>B2B 공급율 27% 수정</t>
    <phoneticPr fontId="4" type="noConversion"/>
  </si>
  <si>
    <t>KBE 개별공급가 품의 진행중</t>
    <phoneticPr fontId="4" type="noConversion"/>
  </si>
  <si>
    <t>판매단가 : 123원-&gt;150원 수정 / 소비자가 : 1,000원 입력 / 상품상태 삭제</t>
    <phoneticPr fontId="4" type="noConversion"/>
  </si>
  <si>
    <t>(C)미라클 핏 컨투어 스틱 03 쉐딩 미디움</t>
  </si>
  <si>
    <t>(C)미라클 핏 컨투어 스틱 04 쉐딩 다크</t>
  </si>
  <si>
    <t>(C)미라클 핏 컨투어 스틱 02 블러셔 핑크코랄</t>
  </si>
  <si>
    <t>(C)미라클 핏 컨투어 스틱 01 하이라이팅 소프트빔</t>
  </si>
  <si>
    <t>(C)씨씨_렛미노 씨씨 크림</t>
  </si>
  <si>
    <t>(C)씨씨_브이 리프트업 씨씨크림</t>
  </si>
  <si>
    <t>(C)씨씨_텔링유 씨씨 크림</t>
  </si>
  <si>
    <t>(C)비비_피니쉬업 비비 크림</t>
  </si>
  <si>
    <t>(C)비비_커버업 스킨 퍼펙터 02 내추럴 베이지</t>
  </si>
  <si>
    <t>(C)비비_커버업 스킨 퍼펙터 01 라이트 베이지</t>
  </si>
  <si>
    <t>(C)타투 커버 쿠션 [핑크에디션] 21 라이트 베이지 SPF47,PA++</t>
  </si>
  <si>
    <t>(C)타투 커버 쿠션 [핑크에디션] 23 내추럴 베이지 SPF47,PA++</t>
  </si>
  <si>
    <t>(C)스키니 리얼 퀵 아이라이너 01 블랙</t>
  </si>
  <si>
    <t>(C)스키니 리얼 퀵 아이라이너 02 브라운</t>
  </si>
  <si>
    <t>(C)트윙클 워터프루프 젤 펜슬 라이너 05 초코 브라운(오토타입)</t>
  </si>
  <si>
    <t>(C)트윙클 워터프루프 젤 펜슬 라이너 11 리얼블랙(오토타입)</t>
  </si>
  <si>
    <t>(C)트윙클 워터프루프 젤 펜슬 라이너 01 모카 브라운(오토타입)</t>
  </si>
  <si>
    <t>(C)트윙클 워터프루프 젤 펜슬 라이너 04 웜 브론즈(오토타입)</t>
  </si>
  <si>
    <t>(C)트윙클 워터프루프 젤 펜슬 라이너 03 골드 베이지(오토타입)</t>
  </si>
  <si>
    <t>(C)트윙클 워터프루프 젤 펜슬 라이너 02 베이지 샤인(오토타입)</t>
  </si>
  <si>
    <t>(C)트윙클 워터프루프 젤 펜슬 라이너 10 딥 블랙(오토타입)</t>
  </si>
  <si>
    <t>(C)트윙클 워터프루프 젤 펜슬 라이너 08 골든 카키(오토타입)</t>
  </si>
  <si>
    <t>(C)트윙클 워터프루프 젤 펜슬 라이너 06 버건디(오토타입)</t>
  </si>
  <si>
    <t>(C)트윙클 워터프루프 젤 펜슬 라이너 07 다크 퍼플(오토타입)</t>
  </si>
  <si>
    <t>(C)트윙클 워터프루프 젤 펜슬 라이너 09 매탈릭 애쉬(오토타입)</t>
  </si>
  <si>
    <t>(C)타투 아이브로우 틴트 팩 01 카페 라떼</t>
  </si>
  <si>
    <t>(C)타투 아이브로우 틴트 팩 02 까페 모카</t>
  </si>
  <si>
    <t>(C)타투 아이브로우 틴트 팩 03 초코 프라푸치노</t>
  </si>
  <si>
    <t>(C)타투 아이브로우 틴트 팩 04 에스프레소</t>
  </si>
  <si>
    <t>(C)피팅 포에버 싱글 섀도우 10 스윗</t>
  </si>
  <si>
    <t>(C)피팅 포에버 싱글 섀도우 13 밀크 초콜릿</t>
  </si>
  <si>
    <t>(C)피팅 포에버 싱글 섀도우 11 바닐라 슈가</t>
  </si>
  <si>
    <t>(C)피팅 포에버 싱글 섀도우 16 브라우니</t>
  </si>
  <si>
    <t>(C)피팅 포에버 싱글 섀도우 12 피치 크림</t>
  </si>
  <si>
    <t>(C)피팅 포에버 립스틱 01 말린 장미</t>
  </si>
  <si>
    <t>(C)피팅 포에버 립스틱 03 레드 안개꽃</t>
  </si>
  <si>
    <t>(C)피팅 포에버 립스틱 05 엔틱 핑크</t>
  </si>
  <si>
    <t>(C)피팅 포에버 립스틱 06 레드 쉐이드</t>
  </si>
  <si>
    <t>(C)피팅 포에버 립스틱 12 스칼렛</t>
  </si>
  <si>
    <t>(C)피팅 포에버 립스틱 11 로즈 코랄</t>
  </si>
  <si>
    <t>(C)피팅 포에버 립스틱 13 체리 레드</t>
  </si>
  <si>
    <t>(C)피팅 포에버 립스틱 14 버건디</t>
  </si>
  <si>
    <t>(C)피팅 포에버 립스틱 15 리치 브릭</t>
  </si>
  <si>
    <t>(C)피팅 포에버 립스틱 16 모카 라떼</t>
  </si>
  <si>
    <t>(C)스윗 글램 틴트 글로우 01베이비 핑크</t>
  </si>
  <si>
    <t>(C)스윗 글램 틴트 글로우 03 쥬이시 오렌지</t>
  </si>
  <si>
    <t>(C)스윗 글램 틴트 글로우 05 펑키 핑크</t>
  </si>
  <si>
    <t>(C)스윗 글램 틴트 글로우 04 롤리팝 핑크</t>
  </si>
  <si>
    <t>(C)스윗 글램 틴트 글로우 06 시크 버건디</t>
  </si>
  <si>
    <t>(C)스윗 글램 틴트 글로우 02 바닐라 피치</t>
  </si>
  <si>
    <t>(C)스윗 글램 틴트 글로우 08 퓨어 레드</t>
  </si>
  <si>
    <t>(C)스윗 글램 틴트 글로우 미니 키트</t>
  </si>
  <si>
    <t>(C)스윗 글램 투톤 글로우 01 시크 레드</t>
  </si>
  <si>
    <t>(C)스윗 글램 투톤 글로우 03 롤리팝 핑크</t>
  </si>
  <si>
    <t>(C)스윗 글램 투톤 글로우 02 쥬이시 오렌지</t>
  </si>
  <si>
    <t>(C)스윗 글램 투톤 글로우 05 프레쉬 코랄</t>
  </si>
  <si>
    <t>(C)스윗 글램 투톤 글로우 04 드라이 로즈</t>
  </si>
  <si>
    <t>(C)스윗 글램 벨벳 틴트 01 레드 모어</t>
  </si>
  <si>
    <t>(C)스윗 글램 벨벳 틴트 02 오렌지 베리</t>
  </si>
  <si>
    <t>(C)스윗 글램 벨벳 틴트 03 마이 로즈</t>
  </si>
  <si>
    <t>(C)스윗 글램 벨벳 틴트 04 버닝 로즈</t>
  </si>
  <si>
    <t>(C)스윗 글램 벨벳 틴트 05 딥 체리</t>
  </si>
  <si>
    <t>(C)타투 립 틴트 팩 01 체리 레드</t>
  </si>
  <si>
    <t>(C)타투 립 틴트 팩 02 스칼렛 레드</t>
  </si>
  <si>
    <t>(C)타투 립 틴트 팩 04 러블리 핑크</t>
  </si>
  <si>
    <t>(C)오일프리 립앤아이 리무버</t>
  </si>
  <si>
    <t>(S)스노우 화이트 밀키 팩_톤업</t>
  </si>
  <si>
    <t>(S)스노우 화이트 크림_톤업</t>
  </si>
  <si>
    <t>(S)스노우 화이트 밀키 로션_톤업</t>
  </si>
  <si>
    <t>(S)스노우 화이트 스팟 젤_톤업</t>
  </si>
  <si>
    <t>(S)스노우 화이트 에센스</t>
  </si>
  <si>
    <t>(S)스노우 화이트 스킨 부스터</t>
  </si>
  <si>
    <t>(S)스노우 화이트_더 프리미엄 스노우 화이트 토닝 크림_톤업</t>
  </si>
  <si>
    <t>(S)스노우 화이트 모이스처 크림</t>
  </si>
  <si>
    <t>(S)스노우 화이트 컬러 톤업 크림 - 핑크</t>
  </si>
  <si>
    <t>(S)스노우 화이트 컬러 톤업 크림 - 민트</t>
  </si>
  <si>
    <t>(S)블랙 아웃 포어 필 오프 팩</t>
  </si>
  <si>
    <t>(S)블랙 아웃 포어 미니마이징 팩</t>
  </si>
  <si>
    <t>(S)블랙 아웃 포어 클린 토너</t>
  </si>
  <si>
    <t>(S)블랙 아웃 포어 클린 리무버</t>
  </si>
  <si>
    <t>(S)블랙 아웃 포어 버블링 팩</t>
  </si>
  <si>
    <t>(S)씨네이크 안티 링클 앤 화이트닝 토너</t>
  </si>
  <si>
    <t>(S)씨네이크 안티 링클 앤 화이트닝 앰플</t>
  </si>
  <si>
    <t>(S)씨네이크 안티 링클 앤 화이트닝 크림</t>
  </si>
  <si>
    <t>(S)씨네이크 안티 링클 앤 화이트닝 아이크림</t>
  </si>
  <si>
    <t>(S)스네일 리페어링 토너</t>
  </si>
  <si>
    <t>(S)스네일 리페어링 에센스</t>
  </si>
  <si>
    <t>(S)스네일 리페어링 에멀전</t>
  </si>
  <si>
    <t>(S)스네일 리페어링 젤크림</t>
  </si>
  <si>
    <t>(S)스네일 리페어링 크림</t>
  </si>
  <si>
    <t>(S)스네일 리페어링 아이크림</t>
  </si>
  <si>
    <t>(S)스네일 리페어링 폼클렌저</t>
  </si>
  <si>
    <t>(S)스타팅 트리트먼트 에센스</t>
  </si>
  <si>
    <t>(S)스타팅 트리트먼트 에센스 로즈 에디션</t>
  </si>
  <si>
    <t>(S)스타팅 트리트먼트 아이크림</t>
  </si>
  <si>
    <t>(S)스타팅 트리트먼트 아이크림 로즈 에디션</t>
  </si>
  <si>
    <t>(S)스타팅 트리트먼트 크림</t>
  </si>
  <si>
    <t>(S)스타팅 트리트먼트 광채 미스트</t>
  </si>
  <si>
    <t>(S)스타팅 트리트먼트 필링 슬리핑 팩</t>
  </si>
  <si>
    <t>(S)24K_ 골드 프리미엄 퍼스트 에센스</t>
  </si>
  <si>
    <t>(S)24K 골드 프리미엄 퍼스트 크림</t>
  </si>
  <si>
    <t>(S)24K 골드 프리미엄 퍼스트 세럼</t>
  </si>
  <si>
    <t>(S)히알루론 소프트 마이크로필 토너</t>
  </si>
  <si>
    <t>(S)히알루론 아쿠아 마이크로필 크림</t>
  </si>
  <si>
    <t>(S)히알루론_아이슬란드 히알루론 수딩 젤</t>
  </si>
  <si>
    <t>(S)로즈 워터 베이스 젤 크림</t>
  </si>
  <si>
    <t>(S)로즈 워터 베이스 토너</t>
  </si>
  <si>
    <t>(S)로즈 워터 오일 클리어 파우더</t>
  </si>
  <si>
    <t>(S)프레시_로즈 플로랄 소프트닝 토너</t>
  </si>
  <si>
    <t>(S)프레시_밀크 브라이트닝 토너</t>
  </si>
  <si>
    <t>(S)프레시_알로에 수딩 모이스트 토너</t>
  </si>
  <si>
    <t>(S)프레시_위치하젤 포어 클리어 토너</t>
  </si>
  <si>
    <t>(S)프레시 티트리 리프레쉬 카밍 토너</t>
  </si>
  <si>
    <t>(S)허그미 모이스처 스팀 핸드 크림 플로랄</t>
  </si>
  <si>
    <t>(S)허그미 모이스처 스팀 핸드 크림 머스크</t>
  </si>
  <si>
    <t>(S)허그미 모이스처 스팀 핸드 크림 시트러스</t>
  </si>
  <si>
    <t>(S)허그미 모이스처 스팀 크림 머스크</t>
  </si>
  <si>
    <t>(S)허그미 모이스처 스팀 크림 플로랄</t>
  </si>
  <si>
    <t>(S)허그미 모이스처 스팀 크림 시트러스</t>
  </si>
  <si>
    <t>(S)멀티셀 나이트 리페어 앰플</t>
  </si>
  <si>
    <t>(S)멀티셀 나이트 리페어 아이크림</t>
  </si>
  <si>
    <t>(S)레몬 스파클링 필링젤</t>
  </si>
  <si>
    <t>(S)레몬 스파클링 클렌징 폼</t>
  </si>
  <si>
    <t>(S)레몬 스파클링 필링 패드</t>
  </si>
  <si>
    <t>(S)레몬 스파클링 클렌징 오일</t>
  </si>
  <si>
    <t>(S)레몬 스파클링 스틱 클렌저</t>
  </si>
  <si>
    <t>(S)소패스트_프리미엄 소패스트 헤어 부스터 샴푸</t>
  </si>
  <si>
    <t>(S)소패스트_프리미엄 소패스트 헤어 부스터 팩</t>
  </si>
  <si>
    <t>(S)소패스트_프리미엄 소패스트 헤어 부스터 트리트먼트</t>
  </si>
  <si>
    <t>(S)소패스트_올뉴 프리미엄 소패스트 헤어 부스터 샴푸</t>
  </si>
  <si>
    <t>(S)소패스트_올뉴 프리미엄 소패스트 헤어 부스터 트리트먼트</t>
  </si>
  <si>
    <t>(S)뮤코팅 엘피피 리페어 트리트먼트</t>
  </si>
  <si>
    <t>(S)뮤코팅 실크 단백질 앰플 5p</t>
  </si>
  <si>
    <t>(S)뮤코팅 실크 단백질 샴푸</t>
  </si>
  <si>
    <t>(S)선_타나카 마일드 선크림 SPF47,PA+++</t>
  </si>
  <si>
    <t>(S)선_타나카 아쿠아 선로션 SPF35,PA+++</t>
  </si>
  <si>
    <t>(S)비베놈 AC 컨트롤 미스트</t>
  </si>
  <si>
    <t>(S)비베놈 AC 컨트롤 스팟 크림</t>
  </si>
  <si>
    <t>(S)스페셜_이탈리안 떼르말 크림</t>
  </si>
  <si>
    <t>(S)스페셜_마유 힐링 페이셜 크림(R)</t>
  </si>
  <si>
    <t>(S)스페셜_블랙 스네일 오리지날 크림</t>
  </si>
  <si>
    <t>(S)스페셜_프레스티지 리페어링 크림</t>
  </si>
  <si>
    <t>(M)패치_라쿠니_마린 라쿠니 하이드로겔 아이&amp;멀티 패치</t>
  </si>
  <si>
    <t>(M)패치_라쿠니_ 골드 라쿠니 하이드로겔 아이&amp;스팟패치</t>
  </si>
  <si>
    <t>(M)패치_라쿠니_핑크 라쿠니 하이드로겔 아이&amp;볼 패치</t>
  </si>
  <si>
    <t>(M)패치_24k_골드 프리미엄 퍼스트 아이패치</t>
  </si>
  <si>
    <t>(M)네이처 레시피 마스크 팩 - 허니 10p 세트</t>
  </si>
  <si>
    <t>(M)네이처 레시피 마스크 팩 - 티트리 10p 세트</t>
  </si>
  <si>
    <t>(M)기능성_마유 딥 뉴트리션 마스크 팩 10p 세트</t>
  </si>
  <si>
    <t>(M)기능성_스네일 인텐시브 마스크팩 10p 세트</t>
  </si>
  <si>
    <t>(M)기능성_씨네이크 리프트 마스크팩 10p 세트</t>
  </si>
  <si>
    <t>(M)블랙 아웃 포어 3스텝 코팩 5P</t>
  </si>
  <si>
    <t>(M)스타팅 트리트먼트 에센셜 마스크 팩 5p</t>
  </si>
  <si>
    <t>(T)마이크로 3D 페이스 롤러</t>
  </si>
  <si>
    <t>(T)소프트 모공 브러쉬</t>
  </si>
  <si>
    <t>(S)프레시_알로에 수딩 모이스트 토너(500ml)</t>
  </si>
  <si>
    <t>(S)(기획세트)레몬 스파클링 스틱 클렌저 스페셜 에디션 (필링패드 증정)</t>
  </si>
  <si>
    <t>(T)(기획세트)마이크로 3D 페이스 롤러 스페셜 에디션</t>
  </si>
  <si>
    <t>(C)스네일 리페어링_리페어링 비비크림</t>
  </si>
  <si>
    <t>앞으로 진행계획 없음(상품삭제)</t>
    <phoneticPr fontId="4" type="noConversion"/>
  </si>
  <si>
    <t>▶채널별 특별운용 품목 : 11SKUs</t>
    <phoneticPr fontId="4" type="noConversion"/>
  </si>
  <si>
    <t>KBE 개별공급가 품의 진행중</t>
  </si>
  <si>
    <t>KBE 개별공급가 및 공급율 삭제</t>
    <phoneticPr fontId="4" type="noConversion"/>
  </si>
  <si>
    <t>(S)씨네이크 안티 링클 앤 화이트닝 에멀전®</t>
    <phoneticPr fontId="4" type="noConversion"/>
  </si>
  <si>
    <t>용기</t>
    <phoneticPr fontId="4" type="noConversion"/>
  </si>
  <si>
    <t>단상자</t>
    <phoneticPr fontId="4" type="noConversion"/>
  </si>
  <si>
    <t>타사현황</t>
    <phoneticPr fontId="4" type="noConversion"/>
  </si>
  <si>
    <t>캡</t>
    <phoneticPr fontId="4" type="noConversion"/>
  </si>
  <si>
    <t>펌프</t>
    <phoneticPr fontId="4" type="noConversion"/>
  </si>
  <si>
    <t>몸통라벨</t>
    <phoneticPr fontId="4" type="noConversion"/>
  </si>
  <si>
    <t>하면라벨</t>
    <phoneticPr fontId="4" type="noConversion"/>
  </si>
  <si>
    <t>퍼프</t>
    <phoneticPr fontId="4" type="noConversion"/>
  </si>
  <si>
    <t>스펀지</t>
    <phoneticPr fontId="4" type="noConversion"/>
  </si>
  <si>
    <t>수축</t>
    <phoneticPr fontId="4" type="noConversion"/>
  </si>
  <si>
    <t>내용물</t>
    <phoneticPr fontId="4" type="noConversion"/>
  </si>
  <si>
    <t>임가공</t>
    <phoneticPr fontId="4" type="noConversion"/>
  </si>
  <si>
    <t>박킹</t>
    <phoneticPr fontId="4" type="noConversion"/>
  </si>
  <si>
    <t>리드(덮개)</t>
    <phoneticPr fontId="4" type="noConversion"/>
  </si>
  <si>
    <t>민성&gt;상운</t>
    <phoneticPr fontId="4" type="noConversion"/>
  </si>
  <si>
    <t>기타비용</t>
    <phoneticPr fontId="4" type="noConversion"/>
  </si>
  <si>
    <t>부자재턴키</t>
    <phoneticPr fontId="4" type="noConversion"/>
  </si>
  <si>
    <t>제조원가
(VAT포함)</t>
    <phoneticPr fontId="4" type="noConversion"/>
  </si>
  <si>
    <t>봉함라벨</t>
    <phoneticPr fontId="4" type="noConversion"/>
  </si>
  <si>
    <t>제품명(주요제품)</t>
    <phoneticPr fontId="4" type="noConversion"/>
  </si>
  <si>
    <t>단가 인하 세부사항</t>
    <phoneticPr fontId="4" type="noConversion"/>
  </si>
  <si>
    <t>하향
예상비용</t>
    <phoneticPr fontId="4" type="noConversion"/>
  </si>
  <si>
    <t>스펀지 -22</t>
    <phoneticPr fontId="4" type="noConversion"/>
  </si>
  <si>
    <t>임가공 -9</t>
    <phoneticPr fontId="4" type="noConversion"/>
  </si>
  <si>
    <t>임가공 -11 / 하면라벨 -2</t>
    <phoneticPr fontId="4" type="noConversion"/>
  </si>
  <si>
    <t>하면라벨 -2*3ea</t>
    <phoneticPr fontId="4" type="noConversion"/>
  </si>
  <si>
    <t>내용물 -10 / 용기 -5</t>
    <phoneticPr fontId="4" type="noConversion"/>
  </si>
  <si>
    <t>내용물 -14</t>
    <phoneticPr fontId="4" type="noConversion"/>
  </si>
  <si>
    <t>임가공 -50</t>
    <phoneticPr fontId="4" type="noConversion"/>
  </si>
  <si>
    <t>임가공 -13</t>
    <phoneticPr fontId="4" type="noConversion"/>
  </si>
  <si>
    <t>내용물 --22</t>
    <phoneticPr fontId="4" type="noConversion"/>
  </si>
  <si>
    <t>임가공 -33</t>
    <phoneticPr fontId="4" type="noConversion"/>
  </si>
  <si>
    <t>임가공 -70</t>
    <phoneticPr fontId="4" type="noConversion"/>
  </si>
  <si>
    <t>단상자 -22</t>
    <phoneticPr fontId="4" type="noConversion"/>
  </si>
  <si>
    <t>■ 이익률 9% 미만 품목 제조원가 검토 현황</t>
    <phoneticPr fontId="4" type="noConversion"/>
  </si>
  <si>
    <t>구분</t>
    <phoneticPr fontId="4" type="noConversion"/>
  </si>
  <si>
    <t>SKUs</t>
    <phoneticPr fontId="4" type="noConversion"/>
  </si>
  <si>
    <t>비고</t>
    <phoneticPr fontId="4" type="noConversion"/>
  </si>
  <si>
    <t>총 품목수</t>
    <phoneticPr fontId="4" type="noConversion"/>
  </si>
  <si>
    <t>내용물 조정 가능 품목</t>
    <phoneticPr fontId="4" type="noConversion"/>
  </si>
  <si>
    <t>임가공 조정 가능 품목</t>
    <phoneticPr fontId="4" type="noConversion"/>
  </si>
  <si>
    <t>부자재 조정 가능 품목</t>
    <phoneticPr fontId="4" type="noConversion"/>
  </si>
  <si>
    <t>복합 조정 가능 품목</t>
    <phoneticPr fontId="4" type="noConversion"/>
  </si>
  <si>
    <t>소비자가 조정필요 품목</t>
    <phoneticPr fontId="4" type="noConversion"/>
  </si>
  <si>
    <t>* 세부 견적서 미존재 품목 다수로 검토결과 부정확할 수 있음.</t>
    <phoneticPr fontId="4" type="noConversion"/>
  </si>
  <si>
    <t xml:space="preserve"> </t>
    <phoneticPr fontId="4" type="noConversion"/>
  </si>
  <si>
    <t>단가 인하 사항</t>
    <phoneticPr fontId="4" type="noConversion"/>
  </si>
  <si>
    <t>단상자 -8</t>
    <phoneticPr fontId="4" type="noConversion"/>
  </si>
  <si>
    <t>단상자 -8 / 임가공 -75</t>
    <phoneticPr fontId="4" type="noConversion"/>
  </si>
  <si>
    <t>임가공 -140</t>
    <phoneticPr fontId="4" type="noConversion"/>
  </si>
  <si>
    <t>임가공 -190</t>
    <phoneticPr fontId="4" type="noConversion"/>
  </si>
  <si>
    <t>단상자 -11</t>
    <phoneticPr fontId="4" type="noConversion"/>
  </si>
  <si>
    <t>단상자 -22</t>
    <phoneticPr fontId="4" type="noConversion"/>
  </si>
  <si>
    <t>임가공 -110 / 단상자 -88</t>
    <phoneticPr fontId="4" type="noConversion"/>
  </si>
  <si>
    <t>단상자 -33</t>
    <phoneticPr fontId="4" type="noConversion"/>
  </si>
  <si>
    <t>임가공 -110 / 단상자 -11</t>
    <phoneticPr fontId="4" type="noConversion"/>
  </si>
  <si>
    <t>임가공비 -25</t>
    <phoneticPr fontId="4" type="noConversion"/>
  </si>
  <si>
    <t>임가공비 -210</t>
    <phoneticPr fontId="4" type="noConversion"/>
  </si>
  <si>
    <t>내용물 + 임가공 -50</t>
    <phoneticPr fontId="4" type="noConversion"/>
  </si>
  <si>
    <t>임가공비 -35</t>
    <phoneticPr fontId="4" type="noConversion"/>
  </si>
  <si>
    <t>내용물 ↑  -500</t>
    <phoneticPr fontId="4" type="noConversion"/>
  </si>
  <si>
    <t>임가공 ↑  -77</t>
    <phoneticPr fontId="4" type="noConversion"/>
  </si>
  <si>
    <t>임가공 -100 /스펀지 -50</t>
    <phoneticPr fontId="4" type="noConversion"/>
  </si>
  <si>
    <t>임가공비 ↑ -20</t>
    <phoneticPr fontId="4" type="noConversion"/>
  </si>
  <si>
    <t>임가공비 ↑ -50</t>
    <phoneticPr fontId="4" type="noConversion"/>
  </si>
  <si>
    <t>임가공비 ↑ -10</t>
    <phoneticPr fontId="4" type="noConversion"/>
  </si>
  <si>
    <t>내용물 -14</t>
    <phoneticPr fontId="4" type="noConversion"/>
  </si>
  <si>
    <t>하면라벨 -5.5*3 = -16.5</t>
    <phoneticPr fontId="4" type="noConversion"/>
  </si>
  <si>
    <t>구분</t>
    <phoneticPr fontId="4" type="noConversion"/>
  </si>
  <si>
    <t>비고</t>
    <phoneticPr fontId="4" type="noConversion"/>
  </si>
  <si>
    <t>■ 예상 절감 제조원가 금액</t>
    <phoneticPr fontId="4" type="noConversion"/>
  </si>
  <si>
    <t>SKUs</t>
    <phoneticPr fontId="4" type="noConversion"/>
  </si>
  <si>
    <t>현황</t>
    <phoneticPr fontId="4" type="noConversion"/>
  </si>
  <si>
    <t>총 절감 원가</t>
    <phoneticPr fontId="4" type="noConversion"/>
  </si>
  <si>
    <t>MOQ</t>
    <phoneticPr fontId="4" type="noConversion"/>
  </si>
  <si>
    <t>연간 평균 발주 횟수</t>
    <phoneticPr fontId="4" type="noConversion"/>
  </si>
  <si>
    <t>계</t>
    <phoneticPr fontId="4" type="noConversion"/>
  </si>
  <si>
    <t>(단위 : 원, VAT포함)</t>
    <phoneticPr fontId="4" type="noConversion"/>
  </si>
  <si>
    <t>전품목 평균</t>
    <phoneticPr fontId="4" type="noConversion"/>
  </si>
  <si>
    <t>(M)스타팅 트리트먼트 에센셜 마스크 팩 10p 리뉴얼</t>
    <phoneticPr fontId="4" type="noConversion"/>
  </si>
  <si>
    <t>제품명</t>
    <phoneticPr fontId="4" type="noConversion"/>
  </si>
  <si>
    <t>단위</t>
    <phoneticPr fontId="4" type="noConversion"/>
  </si>
  <si>
    <t>마스크</t>
    <phoneticPr fontId="4" type="noConversion"/>
  </si>
  <si>
    <t>(S)스페셜_마유 힐링 페이셜 크림(R)</t>
    <phoneticPr fontId="4" type="noConversion"/>
  </si>
  <si>
    <t>자체코드</t>
    <phoneticPr fontId="4" type="noConversion"/>
  </si>
  <si>
    <t>공급가</t>
    <phoneticPr fontId="4" type="noConversion"/>
  </si>
  <si>
    <t>원가율</t>
    <phoneticPr fontId="4" type="noConversion"/>
  </si>
  <si>
    <t>ERP 코드</t>
    <phoneticPr fontId="4" type="noConversion"/>
  </si>
  <si>
    <t>중분류</t>
    <phoneticPr fontId="4" type="noConversion"/>
  </si>
  <si>
    <t>제품명</t>
    <phoneticPr fontId="4" type="noConversion"/>
  </si>
  <si>
    <t>S004</t>
  </si>
  <si>
    <t>S011</t>
  </si>
  <si>
    <t>S023</t>
  </si>
  <si>
    <t>S025</t>
  </si>
  <si>
    <t>S026</t>
  </si>
  <si>
    <t>S040</t>
  </si>
  <si>
    <t>S043</t>
  </si>
  <si>
    <t>S074</t>
  </si>
  <si>
    <t>소가
이익률</t>
    <phoneticPr fontId="4" type="noConversion"/>
  </si>
  <si>
    <t>매출
이익률</t>
    <phoneticPr fontId="4" type="noConversion"/>
  </si>
  <si>
    <t>생산
이익</t>
    <phoneticPr fontId="4" type="noConversion"/>
  </si>
  <si>
    <t>생산
이익률</t>
    <phoneticPr fontId="4" type="noConversion"/>
  </si>
  <si>
    <t>C001</t>
    <phoneticPr fontId="4" type="noConversion"/>
  </si>
  <si>
    <t>C002</t>
    <phoneticPr fontId="4" type="noConversion"/>
  </si>
  <si>
    <t>C042</t>
  </si>
  <si>
    <t>C043</t>
  </si>
  <si>
    <t>C049</t>
  </si>
  <si>
    <t>30*10</t>
    <phoneticPr fontId="4" type="noConversion"/>
  </si>
  <si>
    <t>S001</t>
    <phoneticPr fontId="4" type="noConversion"/>
  </si>
  <si>
    <t>S041</t>
    <phoneticPr fontId="4" type="noConversion"/>
  </si>
  <si>
    <t>S042</t>
    <phoneticPr fontId="4" type="noConversion"/>
  </si>
  <si>
    <t>타투아이</t>
    <phoneticPr fontId="4" type="noConversion"/>
  </si>
  <si>
    <t>▣ 젠피아 → 상해젠피아</t>
    <phoneticPr fontId="4" type="noConversion"/>
  </si>
  <si>
    <t>No</t>
    <phoneticPr fontId="4" type="noConversion"/>
  </si>
  <si>
    <t>프리미엄모델링 마스크 03 골드</t>
  </si>
  <si>
    <t>프리미엄모델링 마스크 01 페퍼민트</t>
  </si>
  <si>
    <t>모델링</t>
    <phoneticPr fontId="4" type="noConversion"/>
  </si>
  <si>
    <t>모이스처</t>
    <phoneticPr fontId="4" type="noConversion"/>
  </si>
  <si>
    <t>리페어</t>
    <phoneticPr fontId="4" type="noConversion"/>
  </si>
  <si>
    <t>더마인텐시브아줄렌 앰플</t>
    <phoneticPr fontId="4" type="noConversion"/>
  </si>
  <si>
    <t>리페어인텐시브이지에프 앰플</t>
    <phoneticPr fontId="4" type="noConversion"/>
  </si>
  <si>
    <t>더마앰플</t>
    <phoneticPr fontId="4" type="noConversion"/>
  </si>
  <si>
    <t>더마</t>
    <phoneticPr fontId="4" type="noConversion"/>
  </si>
  <si>
    <t>아웃박스</t>
    <phoneticPr fontId="4" type="noConversion"/>
  </si>
  <si>
    <t>리페어인텐시히알루론 앰플</t>
    <phoneticPr fontId="4" type="noConversion"/>
  </si>
  <si>
    <t>제품이미지</t>
    <phoneticPr fontId="4" type="noConversion"/>
  </si>
  <si>
    <t>미니</t>
    <phoneticPr fontId="4" type="noConversion"/>
  </si>
  <si>
    <t>더마인텐시브 크림</t>
  </si>
  <si>
    <t>리페어 아이크림</t>
  </si>
  <si>
    <t>닥터아제라 제품리스트</t>
    <phoneticPr fontId="4" type="noConversion"/>
  </si>
  <si>
    <t xml:space="preserve">더마 </t>
    <phoneticPr fontId="4" type="noConversion"/>
  </si>
  <si>
    <t>g</t>
    <phoneticPr fontId="4" type="noConversion"/>
  </si>
  <si>
    <t xml:space="preserve">더마인텐시브 크림 
</t>
    <phoneticPr fontId="4" type="noConversion"/>
  </si>
  <si>
    <t>모이스처</t>
    <phoneticPr fontId="4" type="noConversion"/>
  </si>
  <si>
    <t>모이스처라이징 폼클렌저
(3월 신제품 출시 예정.)</t>
    <phoneticPr fontId="4" type="noConversion"/>
  </si>
  <si>
    <t>모이스처라이징 토너
(3월 신제품 출시 예정.)</t>
    <phoneticPr fontId="4" type="noConversion"/>
  </si>
  <si>
    <t>모이스처라이징 크림
(3월 신제품 출시 예정)</t>
    <phoneticPr fontId="4" type="noConversion"/>
  </si>
  <si>
    <t>g</t>
    <phoneticPr fontId="4" type="noConversion"/>
  </si>
  <si>
    <t>더마인텐시브유브이쉴드 선블록SPF47,PA+++
(2월 리뉴얼 출시 예정.)</t>
    <phoneticPr fontId="4" type="noConversion"/>
  </si>
  <si>
    <t>리페어 크림
(2월 리뉴얼 출시 예정)</t>
    <phoneticPr fontId="4" type="noConversion"/>
  </si>
  <si>
    <t>리페어솔루션 토너
(2월 리뉴얼 출시 예정.)</t>
    <phoneticPr fontId="4" type="noConversion"/>
  </si>
  <si>
    <t>소비자가</t>
    <phoneticPr fontId="4" type="noConversion"/>
  </si>
  <si>
    <t>리페어 아이크림
(2월 리뉴얼 출시 예정.)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</si>
</sst>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_-* #,##0.0_-;\-* #,##0.0_-;_-* &quot;-&quot;_-;_-@_-"/>
    <numFmt numFmtId="177" formatCode="#,##0_ ;[Red]\-#,##0\ "/>
    <numFmt numFmtId="178" formatCode="0_);[Red]\(0\)"/>
    <numFmt numFmtId="179" formatCode="0.0%"/>
    <numFmt numFmtId="180" formatCode="_-* #,##0.00_-;\-* #,##0.00_-;_-* &quot;-&quot;?_-;_-@_-"/>
    <numFmt numFmtId="181" formatCode="0_ "/>
  </numFmts>
  <fonts count="64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color rgb="FFC0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6"/>
      <color theme="1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  <font>
      <sz val="6"/>
      <color rgb="FFFF0000"/>
      <name val="맑은 고딕"/>
      <family val="3"/>
      <charset val="129"/>
      <scheme val="minor"/>
    </font>
    <font>
      <sz val="6"/>
      <color rgb="FFC00000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sz val="8"/>
      <color theme="0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000000"/>
      <name val="돋움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b/>
      <sz val="8"/>
      <color theme="0"/>
      <name val="맑은 고딕"/>
      <family val="2"/>
      <charset val="129"/>
      <scheme val="minor"/>
    </font>
    <font>
      <b/>
      <sz val="8"/>
      <color theme="0"/>
      <name val="돋움체"/>
      <family val="3"/>
      <charset val="129"/>
    </font>
    <font>
      <b/>
      <sz val="7"/>
      <color theme="0"/>
      <name val="맑은 고딕"/>
      <family val="2"/>
      <charset val="129"/>
      <scheme val="minor"/>
    </font>
    <font>
      <b/>
      <sz val="7"/>
      <color theme="0"/>
      <name val="맑은 고딕"/>
      <family val="3"/>
      <charset val="129"/>
      <scheme val="minor"/>
    </font>
    <font>
      <b/>
      <sz val="8"/>
      <color rgb="FF0000FF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2"/>
      <color rgb="FFFFFF00"/>
      <name val="맑은 고딕"/>
      <family val="3"/>
      <charset val="129"/>
      <scheme val="minor"/>
    </font>
    <font>
      <sz val="8"/>
      <color rgb="FF0000FF"/>
      <name val="맑은 고딕"/>
      <family val="2"/>
      <charset val="129"/>
      <scheme val="minor"/>
    </font>
    <font>
      <sz val="8"/>
      <color rgb="FF0000FF"/>
      <name val="맑은 고딕"/>
      <family val="3"/>
      <charset val="129"/>
      <scheme val="minor"/>
    </font>
    <font>
      <sz val="8"/>
      <color rgb="FFFF0000"/>
      <name val="맑은 고딕"/>
      <family val="2"/>
      <charset val="129"/>
      <scheme val="minor"/>
    </font>
    <font>
      <sz val="8"/>
      <color theme="6" tint="-0.499984740745262"/>
      <name val="맑은 고딕"/>
      <family val="2"/>
      <charset val="129"/>
      <scheme val="minor"/>
    </font>
    <font>
      <sz val="8"/>
      <color theme="6" tint="-0.499984740745262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10"/>
      <color rgb="FFFFFF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8"/>
      <name val="MS Sans Serif"/>
      <charset val="1"/>
    </font>
    <font>
      <sz val="11"/>
      <color theme="1"/>
      <name val="맑은 고딕"/>
      <family val="2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35"/>
      <name val="맑은 고딕"/>
      <family val="3"/>
      <charset val="129"/>
      <scheme val="minor"/>
    </font>
    <font>
      <sz val="8"/>
      <name val="MS Sans Serif"/>
      <family val="2"/>
    </font>
    <font>
      <sz val="11"/>
      <color theme="1"/>
      <name val="맑은 고딕"/>
      <family val="3"/>
      <charset val="129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3">
    <xf numFmtId="0" fontId="0" fillId="0" borderId="0">
      <alignment vertical="center"/>
    </xf>
    <xf numFmtId="0" fontId="58" fillId="0" borderId="0" applyAlignment="0">
      <alignment vertical="top" wrapText="1"/>
      <protection locked="0"/>
    </xf>
    <xf numFmtId="41" fontId="5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2" fillId="0" borderId="0" applyAlignment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11" fillId="0" borderId="0" applyFont="0" applyFill="0" applyBorder="0" applyAlignment="0" applyProtection="0">
      <alignment vertical="center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3" fillId="0" borderId="0" applyFont="0" applyFill="0" applyBorder="0" applyAlignment="0" applyProtection="0">
      <alignment vertical="center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11" fillId="0" borderId="0">
      <alignment vertical="center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3" fillId="0" borderId="0">
      <alignment vertical="center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0" fontId="63" fillId="0" borderId="0">
      <alignment vertical="center"/>
    </xf>
    <xf numFmtId="0" fontId="62" fillId="0" borderId="0" applyAlignment="0">
      <alignment vertical="top" wrapText="1"/>
      <protection locked="0"/>
    </xf>
    <xf numFmtId="0" fontId="62" fillId="0" borderId="0" applyAlignment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11" fillId="0" borderId="0" applyFont="0" applyFill="0" applyBorder="0" applyAlignment="0" applyProtection="0">
      <alignment vertical="center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  <xf numFmtId="41" fontId="63" fillId="0" borderId="0" applyFont="0" applyFill="0" applyBorder="0" applyAlignment="0" applyProtection="0">
      <alignment vertical="center"/>
    </xf>
    <xf numFmtId="41" fontId="62" fillId="0" borderId="0" applyFont="0" applyFill="0" applyBorder="0" applyAlignment="0" applyProtection="0">
      <alignment vertical="top" wrapText="1"/>
      <protection locked="0"/>
    </xf>
    <xf numFmtId="41" fontId="62" fillId="0" borderId="0" applyFont="0" applyFill="0" applyBorder="0" applyAlignment="0" applyProtection="0">
      <alignment vertical="top" wrapText="1"/>
      <protection locked="0"/>
    </xf>
  </cellStyleXfs>
  <cellXfs count="325">
    <xf numFmtId="0" fontId="0" fillId="0" borderId="0" xfId="0">
      <alignment vertical="center"/>
    </xf>
    <xf numFmtId="0" fontId="13" fillId="0" borderId="0" xfId="0" applyFont="1" applyFill="1" applyBorder="1" applyAlignment="1">
      <alignment vertical="center"/>
    </xf>
    <xf numFmtId="0" fontId="14" fillId="0" borderId="0" xfId="0" applyFont="1" applyFill="1" applyBorder="1" applyAlignment="1" applyProtection="1">
      <alignment vertical="center"/>
      <protection locked="0"/>
    </xf>
    <xf numFmtId="0" fontId="13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7" fillId="2" borderId="1" xfId="0" applyFont="1" applyFill="1" applyBorder="1" applyAlignment="1" applyProtection="1">
      <alignment horizontal="center" vertical="center" wrapText="1"/>
      <protection locked="0"/>
    </xf>
    <xf numFmtId="0" fontId="13" fillId="2" borderId="1" xfId="0" applyFont="1" applyFill="1" applyBorder="1" applyAlignment="1" applyProtection="1">
      <alignment horizontal="center" vertical="center" wrapText="1"/>
      <protection locked="0"/>
    </xf>
    <xf numFmtId="0" fontId="17" fillId="0" borderId="1" xfId="0" applyFont="1" applyFill="1" applyBorder="1" applyAlignment="1" applyProtection="1">
      <alignment horizontal="left" vertical="center"/>
    </xf>
    <xf numFmtId="0" fontId="13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right" vertical="center"/>
    </xf>
    <xf numFmtId="0" fontId="13" fillId="0" borderId="1" xfId="0" applyFont="1" applyFill="1" applyBorder="1" applyAlignment="1" applyProtection="1">
      <alignment horizontal="left" vertical="center"/>
    </xf>
    <xf numFmtId="176" fontId="13" fillId="0" borderId="1" xfId="0" applyNumberFormat="1" applyFont="1" applyFill="1" applyBorder="1" applyAlignment="1">
      <alignment horizontal="center" vertical="center"/>
    </xf>
    <xf numFmtId="41" fontId="13" fillId="0" borderId="1" xfId="0" applyNumberFormat="1" applyFont="1" applyFill="1" applyBorder="1" applyAlignment="1">
      <alignment horizontal="right" vertical="center"/>
    </xf>
    <xf numFmtId="176" fontId="13" fillId="0" borderId="0" xfId="0" applyNumberFormat="1" applyFont="1" applyFill="1" applyBorder="1" applyAlignment="1">
      <alignment horizontal="center" vertical="center"/>
    </xf>
    <xf numFmtId="41" fontId="13" fillId="0" borderId="0" xfId="0" applyNumberFormat="1" applyFont="1" applyFill="1" applyBorder="1" applyAlignment="1">
      <alignment horizontal="center" vertical="center"/>
    </xf>
    <xf numFmtId="41" fontId="16" fillId="0" borderId="0" xfId="0" applyNumberFormat="1" applyFont="1" applyFill="1" applyBorder="1" applyAlignment="1">
      <alignment horizontal="center" vertical="center"/>
    </xf>
    <xf numFmtId="41" fontId="13" fillId="0" borderId="1" xfId="0" applyNumberFormat="1" applyFont="1" applyFill="1" applyBorder="1" applyAlignment="1">
      <alignment horizontal="center" vertical="center"/>
    </xf>
    <xf numFmtId="0" fontId="19" fillId="0" borderId="0" xfId="0" applyFont="1" applyFill="1" applyBorder="1">
      <alignment vertical="center"/>
    </xf>
    <xf numFmtId="0" fontId="17" fillId="4" borderId="1" xfId="0" applyFont="1" applyFill="1" applyBorder="1" applyAlignment="1" applyProtection="1">
      <alignment horizontal="left" vertical="center"/>
    </xf>
    <xf numFmtId="0" fontId="15" fillId="4" borderId="1" xfId="0" applyFont="1" applyFill="1" applyBorder="1" applyAlignment="1" applyProtection="1">
      <alignment horizontal="left" vertical="center"/>
    </xf>
    <xf numFmtId="0" fontId="14" fillId="4" borderId="1" xfId="0" applyFont="1" applyFill="1" applyBorder="1" applyAlignment="1" applyProtection="1">
      <alignment horizontal="left" vertical="center"/>
    </xf>
    <xf numFmtId="0" fontId="20" fillId="0" borderId="0" xfId="0" applyFont="1" applyFill="1" applyBorder="1" applyAlignment="1">
      <alignment vertical="center"/>
    </xf>
    <xf numFmtId="0" fontId="24" fillId="0" borderId="0" xfId="0" applyFont="1" applyFill="1" applyBorder="1">
      <alignment vertical="center"/>
    </xf>
    <xf numFmtId="0" fontId="13" fillId="0" borderId="1" xfId="0" applyFont="1" applyFill="1" applyBorder="1" applyAlignment="1">
      <alignment vertical="center"/>
    </xf>
    <xf numFmtId="0" fontId="26" fillId="0" borderId="0" xfId="0" applyFont="1" applyFill="1" applyBorder="1" applyAlignment="1">
      <alignment vertical="center"/>
    </xf>
    <xf numFmtId="0" fontId="17" fillId="3" borderId="1" xfId="0" applyFont="1" applyFill="1" applyBorder="1" applyAlignment="1" applyProtection="1">
      <alignment horizontal="left" vertical="center"/>
    </xf>
    <xf numFmtId="0" fontId="21" fillId="0" borderId="1" xfId="0" applyFont="1" applyFill="1" applyBorder="1" applyAlignment="1">
      <alignment vertical="center"/>
    </xf>
    <xf numFmtId="177" fontId="13" fillId="0" borderId="1" xfId="0" applyNumberFormat="1" applyFont="1" applyFill="1" applyBorder="1" applyAlignment="1">
      <alignment horizontal="right" vertical="center"/>
    </xf>
    <xf numFmtId="0" fontId="20" fillId="0" borderId="1" xfId="0" applyFont="1" applyFill="1" applyBorder="1" applyAlignment="1">
      <alignment vertical="center"/>
    </xf>
    <xf numFmtId="177" fontId="27" fillId="0" borderId="0" xfId="0" applyNumberFormat="1" applyFont="1" applyFill="1" applyBorder="1" applyAlignment="1">
      <alignment vertical="center"/>
    </xf>
    <xf numFmtId="177" fontId="12" fillId="0" borderId="0" xfId="0" applyNumberFormat="1" applyFont="1" applyFill="1" applyBorder="1" applyAlignment="1">
      <alignment vertical="center"/>
    </xf>
    <xf numFmtId="177" fontId="13" fillId="0" borderId="0" xfId="0" applyNumberFormat="1" applyFont="1" applyBorder="1">
      <alignment vertical="center"/>
    </xf>
    <xf numFmtId="9" fontId="13" fillId="0" borderId="0" xfId="0" applyNumberFormat="1" applyFont="1" applyBorder="1">
      <alignment vertical="center"/>
    </xf>
    <xf numFmtId="177" fontId="12" fillId="0" borderId="0" xfId="0" applyNumberFormat="1" applyFont="1" applyBorder="1">
      <alignment vertical="center"/>
    </xf>
    <xf numFmtId="177" fontId="26" fillId="0" borderId="0" xfId="0" applyNumberFormat="1" applyFont="1" applyFill="1" applyBorder="1">
      <alignment vertical="center"/>
    </xf>
    <xf numFmtId="177" fontId="13" fillId="0" borderId="0" xfId="0" applyNumberFormat="1" applyFont="1" applyFill="1" applyBorder="1">
      <alignment vertical="center"/>
    </xf>
    <xf numFmtId="0" fontId="15" fillId="0" borderId="0" xfId="0" applyFont="1" applyBorder="1">
      <alignment vertical="center"/>
    </xf>
    <xf numFmtId="0" fontId="13" fillId="0" borderId="0" xfId="0" applyFont="1" applyBorder="1">
      <alignment vertical="center"/>
    </xf>
    <xf numFmtId="177" fontId="19" fillId="0" borderId="0" xfId="0" applyNumberFormat="1" applyFont="1" applyBorder="1">
      <alignment vertical="center"/>
    </xf>
    <xf numFmtId="9" fontId="19" fillId="0" borderId="0" xfId="0" applyNumberFormat="1" applyFont="1" applyBorder="1">
      <alignment vertical="center"/>
    </xf>
    <xf numFmtId="0" fontId="19" fillId="0" borderId="0" xfId="0" applyFont="1" applyBorder="1">
      <alignment vertical="center"/>
    </xf>
    <xf numFmtId="0" fontId="13" fillId="0" borderId="0" xfId="0" applyFont="1" applyFill="1" applyBorder="1">
      <alignment vertical="center"/>
    </xf>
    <xf numFmtId="0" fontId="15" fillId="0" borderId="0" xfId="0" applyFont="1" applyFill="1" applyBorder="1">
      <alignment vertical="center"/>
    </xf>
    <xf numFmtId="0" fontId="13" fillId="7" borderId="0" xfId="0" applyFont="1" applyFill="1" applyBorder="1">
      <alignment vertical="center"/>
    </xf>
    <xf numFmtId="177" fontId="19" fillId="0" borderId="0" xfId="0" applyNumberFormat="1" applyFont="1" applyFill="1" applyBorder="1">
      <alignment vertical="center"/>
    </xf>
    <xf numFmtId="177" fontId="25" fillId="0" borderId="0" xfId="0" applyNumberFormat="1" applyFont="1" applyFill="1" applyBorder="1">
      <alignment vertical="center"/>
    </xf>
    <xf numFmtId="0" fontId="23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vertical="center"/>
    </xf>
    <xf numFmtId="41" fontId="14" fillId="5" borderId="1" xfId="0" applyNumberFormat="1" applyFont="1" applyFill="1" applyBorder="1" applyAlignment="1" applyProtection="1">
      <alignment horizontal="right" vertical="center"/>
      <protection locked="0"/>
    </xf>
    <xf numFmtId="41" fontId="12" fillId="9" borderId="1" xfId="0" applyNumberFormat="1" applyFont="1" applyFill="1" applyBorder="1" applyAlignment="1">
      <alignment vertical="center"/>
    </xf>
    <xf numFmtId="41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41" fontId="12" fillId="0" borderId="1" xfId="0" applyNumberFormat="1" applyFont="1" applyBorder="1">
      <alignment vertical="center"/>
    </xf>
    <xf numFmtId="41" fontId="17" fillId="0" borderId="1" xfId="0" applyNumberFormat="1" applyFont="1" applyFill="1" applyBorder="1" applyAlignment="1" applyProtection="1">
      <alignment horizontal="right" vertical="center"/>
      <protection locked="0"/>
    </xf>
    <xf numFmtId="41" fontId="17" fillId="3" borderId="1" xfId="0" applyNumberFormat="1" applyFont="1" applyFill="1" applyBorder="1" applyAlignment="1" applyProtection="1">
      <alignment horizontal="right" vertical="center"/>
      <protection locked="0"/>
    </xf>
    <xf numFmtId="41" fontId="17" fillId="6" borderId="1" xfId="0" applyNumberFormat="1" applyFont="1" applyFill="1" applyBorder="1" applyAlignment="1" applyProtection="1">
      <alignment horizontal="right" vertical="center"/>
      <protection locked="0"/>
    </xf>
    <xf numFmtId="41" fontId="13" fillId="0" borderId="1" xfId="0" applyNumberFormat="1" applyFont="1" applyFill="1" applyBorder="1">
      <alignment vertical="center"/>
    </xf>
    <xf numFmtId="41" fontId="19" fillId="0" borderId="1" xfId="0" applyNumberFormat="1" applyFont="1" applyFill="1" applyBorder="1">
      <alignment vertical="center"/>
    </xf>
    <xf numFmtId="41" fontId="17" fillId="10" borderId="1" xfId="0" applyNumberFormat="1" applyFont="1" applyFill="1" applyBorder="1" applyAlignment="1" applyProtection="1">
      <alignment horizontal="right" vertical="center"/>
      <protection locked="0"/>
    </xf>
    <xf numFmtId="41" fontId="18" fillId="0" borderId="1" xfId="0" applyNumberFormat="1" applyFont="1" applyFill="1" applyBorder="1" applyAlignment="1" applyProtection="1">
      <alignment horizontal="right" vertical="center"/>
      <protection locked="0"/>
    </xf>
    <xf numFmtId="0" fontId="13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4" fillId="0" borderId="0" xfId="0" applyFont="1" applyFill="1" applyBorder="1" applyAlignment="1" applyProtection="1">
      <alignment horizontal="center" vertical="center"/>
      <protection locked="0"/>
    </xf>
    <xf numFmtId="9" fontId="17" fillId="0" borderId="0" xfId="0" applyNumberFormat="1" applyFont="1" applyBorder="1" applyAlignment="1">
      <alignment horizontal="center" vertical="center"/>
    </xf>
    <xf numFmtId="41" fontId="13" fillId="0" borderId="0" xfId="0" applyNumberFormat="1" applyFont="1" applyBorder="1" applyAlignment="1">
      <alignment horizontal="center" vertical="center"/>
    </xf>
    <xf numFmtId="41" fontId="12" fillId="0" borderId="0" xfId="0" applyNumberFormat="1" applyFont="1" applyBorder="1" applyAlignment="1">
      <alignment horizontal="center" vertical="center"/>
    </xf>
    <xf numFmtId="41" fontId="12" fillId="0" borderId="0" xfId="0" applyNumberFormat="1" applyFont="1" applyFill="1" applyBorder="1" applyAlignment="1">
      <alignment horizontal="center" vertical="center"/>
    </xf>
    <xf numFmtId="41" fontId="12" fillId="0" borderId="0" xfId="0" applyNumberFormat="1" applyFont="1" applyBorder="1">
      <alignment vertical="center"/>
    </xf>
    <xf numFmtId="41" fontId="12" fillId="8" borderId="1" xfId="0" applyNumberFormat="1" applyFont="1" applyFill="1" applyBorder="1">
      <alignment vertical="center"/>
    </xf>
    <xf numFmtId="41" fontId="14" fillId="0" borderId="1" xfId="0" applyNumberFormat="1" applyFont="1" applyFill="1" applyBorder="1" applyAlignment="1" applyProtection="1">
      <alignment horizontal="right" vertical="center"/>
      <protection locked="0"/>
    </xf>
    <xf numFmtId="41" fontId="14" fillId="3" borderId="1" xfId="0" applyNumberFormat="1" applyFont="1" applyFill="1" applyBorder="1" applyAlignment="1" applyProtection="1">
      <alignment horizontal="right" vertical="center"/>
      <protection locked="0"/>
    </xf>
    <xf numFmtId="41" fontId="15" fillId="0" borderId="0" xfId="0" applyNumberFormat="1" applyFont="1" applyFill="1" applyBorder="1" applyAlignment="1">
      <alignment horizontal="center" vertical="center"/>
    </xf>
    <xf numFmtId="41" fontId="13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41" fontId="12" fillId="0" borderId="1" xfId="0" applyNumberFormat="1" applyFont="1" applyFill="1" applyBorder="1">
      <alignment vertical="center"/>
    </xf>
    <xf numFmtId="177" fontId="12" fillId="0" borderId="0" xfId="0" applyNumberFormat="1" applyFont="1" applyFill="1" applyBorder="1">
      <alignment vertical="center"/>
    </xf>
    <xf numFmtId="177" fontId="12" fillId="0" borderId="1" xfId="0" applyNumberFormat="1" applyFont="1" applyFill="1" applyBorder="1">
      <alignment vertical="center"/>
    </xf>
    <xf numFmtId="178" fontId="17" fillId="0" borderId="1" xfId="0" applyNumberFormat="1" applyFont="1" applyFill="1" applyBorder="1" applyAlignment="1" applyProtection="1">
      <alignment horizontal="left" vertical="center"/>
    </xf>
    <xf numFmtId="178" fontId="13" fillId="0" borderId="1" xfId="0" applyNumberFormat="1" applyFont="1" applyFill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17" fillId="0" borderId="1" xfId="0" applyFont="1" applyFill="1" applyBorder="1" applyAlignment="1" applyProtection="1">
      <alignment vertical="center"/>
    </xf>
    <xf numFmtId="0" fontId="13" fillId="4" borderId="1" xfId="0" applyFont="1" applyFill="1" applyBorder="1" applyAlignment="1" applyProtection="1">
      <alignment horizontal="left" vertical="center"/>
    </xf>
    <xf numFmtId="0" fontId="3" fillId="0" borderId="0" xfId="0" applyFont="1">
      <alignment vertical="center"/>
    </xf>
    <xf numFmtId="0" fontId="32" fillId="0" borderId="1" xfId="0" applyFont="1" applyFill="1" applyBorder="1" applyAlignment="1">
      <alignment vertical="center"/>
    </xf>
    <xf numFmtId="0" fontId="33" fillId="0" borderId="1" xfId="0" applyFont="1" applyFill="1" applyBorder="1" applyAlignment="1" applyProtection="1">
      <alignment horizontal="left" vertical="center"/>
    </xf>
    <xf numFmtId="0" fontId="32" fillId="0" borderId="1" xfId="0" applyFont="1" applyFill="1" applyBorder="1" applyAlignment="1">
      <alignment horizontal="center" vertical="center"/>
    </xf>
    <xf numFmtId="0" fontId="33" fillId="0" borderId="1" xfId="0" applyFont="1" applyFill="1" applyBorder="1" applyAlignment="1" applyProtection="1">
      <alignment horizontal="center" vertical="center"/>
    </xf>
    <xf numFmtId="0" fontId="32" fillId="0" borderId="3" xfId="0" applyFont="1" applyFill="1" applyBorder="1" applyAlignment="1">
      <alignment horizontal="center" vertical="center"/>
    </xf>
    <xf numFmtId="0" fontId="33" fillId="0" borderId="3" xfId="0" applyFont="1" applyFill="1" applyBorder="1" applyAlignment="1" applyProtection="1">
      <alignment horizontal="left" vertical="center"/>
    </xf>
    <xf numFmtId="0" fontId="31" fillId="13" borderId="1" xfId="0" applyFont="1" applyFill="1" applyBorder="1" applyAlignment="1">
      <alignment horizontal="center" vertical="center"/>
    </xf>
    <xf numFmtId="0" fontId="32" fillId="13" borderId="1" xfId="0" applyFont="1" applyFill="1" applyBorder="1" applyAlignment="1">
      <alignment horizontal="center" vertical="center"/>
    </xf>
    <xf numFmtId="0" fontId="34" fillId="13" borderId="5" xfId="0" applyFont="1" applyFill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29" fillId="11" borderId="1" xfId="0" applyFont="1" applyFill="1" applyBorder="1" applyAlignment="1">
      <alignment horizontal="center" vertical="center" wrapText="1"/>
    </xf>
    <xf numFmtId="0" fontId="30" fillId="12" borderId="1" xfId="0" applyFont="1" applyFill="1" applyBorder="1" applyAlignment="1">
      <alignment horizontal="center" vertical="center" wrapText="1"/>
    </xf>
    <xf numFmtId="0" fontId="30" fillId="12" borderId="1" xfId="0" applyFont="1" applyFill="1" applyBorder="1" applyAlignment="1">
      <alignment horizontal="right" vertical="center" wrapText="1"/>
    </xf>
    <xf numFmtId="0" fontId="30" fillId="12" borderId="7" xfId="0" applyFont="1" applyFill="1" applyBorder="1" applyAlignment="1">
      <alignment horizontal="center" vertical="center" wrapText="1"/>
    </xf>
    <xf numFmtId="0" fontId="30" fillId="12" borderId="6" xfId="0" applyFont="1" applyFill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right" vertical="center" wrapText="1"/>
    </xf>
    <xf numFmtId="0" fontId="29" fillId="0" borderId="9" xfId="0" applyFont="1" applyBorder="1" applyAlignment="1">
      <alignment horizontal="center" vertical="center" wrapText="1"/>
    </xf>
    <xf numFmtId="0" fontId="29" fillId="0" borderId="9" xfId="0" applyFont="1" applyBorder="1" applyAlignment="1">
      <alignment horizontal="right" vertical="center" wrapText="1"/>
    </xf>
    <xf numFmtId="0" fontId="29" fillId="0" borderId="10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right" vertical="center" wrapText="1"/>
    </xf>
    <xf numFmtId="0" fontId="30" fillId="12" borderId="11" xfId="0" applyFont="1" applyFill="1" applyBorder="1" applyAlignment="1">
      <alignment horizontal="center" vertical="center" wrapText="1"/>
    </xf>
    <xf numFmtId="0" fontId="30" fillId="12" borderId="11" xfId="0" applyFont="1" applyFill="1" applyBorder="1" applyAlignment="1">
      <alignment horizontal="right" vertical="center" wrapText="1"/>
    </xf>
    <xf numFmtId="0" fontId="30" fillId="0" borderId="5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right" vertical="center" wrapText="1"/>
    </xf>
    <xf numFmtId="0" fontId="33" fillId="0" borderId="8" xfId="0" applyFont="1" applyFill="1" applyBorder="1" applyAlignment="1" applyProtection="1">
      <alignment horizontal="left" vertical="center"/>
    </xf>
    <xf numFmtId="0" fontId="33" fillId="0" borderId="10" xfId="0" applyFont="1" applyFill="1" applyBorder="1" applyAlignment="1" applyProtection="1">
      <alignment horizontal="left" vertical="center"/>
    </xf>
    <xf numFmtId="0" fontId="30" fillId="0" borderId="5" xfId="0" applyFont="1" applyBorder="1" applyAlignment="1">
      <alignment vertical="center" wrapText="1"/>
    </xf>
    <xf numFmtId="0" fontId="13" fillId="10" borderId="1" xfId="0" applyFont="1" applyFill="1" applyBorder="1" applyAlignment="1">
      <alignment vertical="center"/>
    </xf>
    <xf numFmtId="41" fontId="14" fillId="10" borderId="1" xfId="0" applyNumberFormat="1" applyFont="1" applyFill="1" applyBorder="1" applyAlignment="1" applyProtection="1">
      <alignment horizontal="right" vertical="center"/>
      <protection locked="0"/>
    </xf>
    <xf numFmtId="0" fontId="21" fillId="10" borderId="1" xfId="0" applyFont="1" applyFill="1" applyBorder="1" applyAlignment="1">
      <alignment vertical="center"/>
    </xf>
    <xf numFmtId="0" fontId="13" fillId="0" borderId="2" xfId="0" applyFont="1" applyBorder="1" applyAlignment="1">
      <alignment vertical="center" wrapText="1"/>
    </xf>
    <xf numFmtId="0" fontId="17" fillId="10" borderId="1" xfId="0" applyFont="1" applyFill="1" applyBorder="1" applyAlignment="1" applyProtection="1">
      <alignment horizontal="left" vertical="center"/>
    </xf>
    <xf numFmtId="0" fontId="19" fillId="10" borderId="0" xfId="0" applyFont="1" applyFill="1" applyBorder="1">
      <alignment vertical="center"/>
    </xf>
    <xf numFmtId="0" fontId="15" fillId="0" borderId="1" xfId="0" applyFont="1" applyFill="1" applyBorder="1" applyAlignment="1">
      <alignment vertical="center"/>
    </xf>
    <xf numFmtId="41" fontId="17" fillId="2" borderId="1" xfId="0" applyNumberFormat="1" applyFont="1" applyFill="1" applyBorder="1" applyAlignment="1" applyProtection="1">
      <alignment horizontal="right" vertical="center"/>
      <protection locked="0"/>
    </xf>
    <xf numFmtId="0" fontId="10" fillId="15" borderId="1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5" fillId="0" borderId="0" xfId="0" applyFont="1" applyAlignment="1">
      <alignment horizontal="right" vertic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>
      <alignment vertical="center"/>
    </xf>
    <xf numFmtId="177" fontId="19" fillId="0" borderId="1" xfId="0" applyNumberFormat="1" applyFont="1" applyBorder="1" applyAlignment="1">
      <alignment horizontal="center" vertical="center"/>
    </xf>
    <xf numFmtId="9" fontId="19" fillId="0" borderId="1" xfId="0" applyNumberFormat="1" applyFont="1" applyBorder="1" applyAlignment="1">
      <alignment horizontal="center" vertical="center"/>
    </xf>
    <xf numFmtId="177" fontId="19" fillId="0" borderId="1" xfId="0" applyNumberFormat="1" applyFont="1" applyBorder="1">
      <alignment vertical="center"/>
    </xf>
    <xf numFmtId="9" fontId="19" fillId="0" borderId="1" xfId="0" applyNumberFormat="1" applyFont="1" applyBorder="1">
      <alignment vertical="center"/>
    </xf>
    <xf numFmtId="177" fontId="19" fillId="14" borderId="1" xfId="0" applyNumberFormat="1" applyFont="1" applyFill="1" applyBorder="1">
      <alignment vertical="center"/>
    </xf>
    <xf numFmtId="177" fontId="19" fillId="0" borderId="1" xfId="0" applyNumberFormat="1" applyFont="1" applyFill="1" applyBorder="1">
      <alignment vertical="center"/>
    </xf>
    <xf numFmtId="0" fontId="13" fillId="0" borderId="2" xfId="0" applyFont="1" applyBorder="1" applyAlignment="1">
      <alignment vertical="center"/>
    </xf>
    <xf numFmtId="0" fontId="13" fillId="0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vertical="center"/>
    </xf>
    <xf numFmtId="178" fontId="13" fillId="0" borderId="2" xfId="0" applyNumberFormat="1" applyFont="1" applyFill="1" applyBorder="1" applyAlignment="1">
      <alignment horizontal="left" vertical="center"/>
    </xf>
    <xf numFmtId="177" fontId="13" fillId="0" borderId="2" xfId="0" applyNumberFormat="1" applyFont="1" applyFill="1" applyBorder="1" applyAlignment="1">
      <alignment horizontal="right" vertical="center"/>
    </xf>
    <xf numFmtId="41" fontId="13" fillId="0" borderId="2" xfId="0" applyNumberFormat="1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vertical="center"/>
    </xf>
    <xf numFmtId="41" fontId="12" fillId="8" borderId="2" xfId="0" applyNumberFormat="1" applyFont="1" applyFill="1" applyBorder="1">
      <alignment vertical="center"/>
    </xf>
    <xf numFmtId="41" fontId="12" fillId="0" borderId="2" xfId="0" applyNumberFormat="1" applyFont="1" applyBorder="1">
      <alignment vertical="center"/>
    </xf>
    <xf numFmtId="41" fontId="19" fillId="0" borderId="2" xfId="0" applyNumberFormat="1" applyFont="1" applyFill="1" applyBorder="1">
      <alignment vertical="center"/>
    </xf>
    <xf numFmtId="41" fontId="12" fillId="9" borderId="2" xfId="0" applyNumberFormat="1" applyFont="1" applyFill="1" applyBorder="1" applyAlignment="1">
      <alignment vertical="center"/>
    </xf>
    <xf numFmtId="41" fontId="13" fillId="0" borderId="2" xfId="0" applyNumberFormat="1" applyFont="1" applyFill="1" applyBorder="1">
      <alignment vertical="center"/>
    </xf>
    <xf numFmtId="41" fontId="12" fillId="0" borderId="2" xfId="0" applyNumberFormat="1" applyFont="1" applyFill="1" applyBorder="1">
      <alignment vertical="center"/>
    </xf>
    <xf numFmtId="177" fontId="12" fillId="0" borderId="2" xfId="0" applyNumberFormat="1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178" fontId="17" fillId="0" borderId="1" xfId="0" quotePrefix="1" applyNumberFormat="1" applyFont="1" applyFill="1" applyBorder="1" applyAlignment="1" applyProtection="1">
      <alignment horizontal="left" vertical="center"/>
    </xf>
    <xf numFmtId="178" fontId="13" fillId="0" borderId="1" xfId="0" applyNumberFormat="1" applyFont="1" applyFill="1" applyBorder="1" applyAlignment="1">
      <alignment vertical="center"/>
    </xf>
    <xf numFmtId="0" fontId="17" fillId="0" borderId="1" xfId="0" applyFont="1" applyFill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9" fontId="13" fillId="0" borderId="0" xfId="0" applyNumberFormat="1" applyFont="1" applyBorder="1">
      <alignment vertical="center"/>
    </xf>
    <xf numFmtId="179" fontId="16" fillId="0" borderId="0" xfId="0" applyNumberFormat="1" applyFont="1" applyBorder="1" applyAlignment="1">
      <alignment horizontal="center" vertical="center"/>
    </xf>
    <xf numFmtId="179" fontId="19" fillId="0" borderId="1" xfId="0" applyNumberFormat="1" applyFont="1" applyBorder="1">
      <alignment vertical="center"/>
    </xf>
    <xf numFmtId="179" fontId="19" fillId="0" borderId="0" xfId="0" applyNumberFormat="1" applyFont="1" applyBorder="1">
      <alignment vertical="center"/>
    </xf>
    <xf numFmtId="41" fontId="19" fillId="0" borderId="0" xfId="0" applyNumberFormat="1" applyFont="1" applyBorder="1">
      <alignment vertical="center"/>
    </xf>
    <xf numFmtId="41" fontId="19" fillId="16" borderId="0" xfId="0" applyNumberFormat="1" applyFont="1" applyFill="1" applyBorder="1">
      <alignment vertical="center"/>
    </xf>
    <xf numFmtId="176" fontId="19" fillId="0" borderId="0" xfId="0" applyNumberFormat="1" applyFont="1" applyBorder="1">
      <alignment vertical="center"/>
    </xf>
    <xf numFmtId="0" fontId="20" fillId="16" borderId="0" xfId="0" applyFont="1" applyFill="1" applyBorder="1" applyAlignment="1">
      <alignment horizontal="center" vertical="center"/>
    </xf>
    <xf numFmtId="0" fontId="36" fillId="0" borderId="0" xfId="0" applyFont="1" applyBorder="1" applyAlignment="1">
      <alignment horizontal="center" vertical="center"/>
    </xf>
    <xf numFmtId="180" fontId="19" fillId="0" borderId="0" xfId="0" applyNumberFormat="1" applyFont="1" applyBorder="1">
      <alignment vertical="center"/>
    </xf>
    <xf numFmtId="0" fontId="17" fillId="0" borderId="1" xfId="0" applyFont="1" applyFill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1" fontId="19" fillId="0" borderId="1" xfId="0" applyNumberFormat="1" applyFont="1" applyBorder="1">
      <alignment vertical="center"/>
    </xf>
    <xf numFmtId="41" fontId="19" fillId="18" borderId="1" xfId="0" applyNumberFormat="1" applyFont="1" applyFill="1" applyBorder="1">
      <alignment vertical="center"/>
    </xf>
    <xf numFmtId="176" fontId="19" fillId="0" borderId="1" xfId="0" applyNumberFormat="1" applyFont="1" applyBorder="1">
      <alignment vertical="center"/>
    </xf>
    <xf numFmtId="180" fontId="19" fillId="0" borderId="1" xfId="0" applyNumberFormat="1" applyFont="1" applyBorder="1">
      <alignment vertical="center"/>
    </xf>
    <xf numFmtId="41" fontId="19" fillId="0" borderId="1" xfId="0" applyNumberFormat="1" applyFont="1" applyFill="1" applyBorder="1">
      <alignment vertical="center"/>
    </xf>
    <xf numFmtId="41" fontId="19" fillId="16" borderId="1" xfId="0" applyNumberFormat="1" applyFont="1" applyFill="1" applyBorder="1">
      <alignment vertical="center"/>
    </xf>
    <xf numFmtId="41" fontId="19" fillId="17" borderId="1" xfId="0" applyNumberFormat="1" applyFont="1" applyFill="1" applyBorder="1">
      <alignment vertical="center"/>
    </xf>
    <xf numFmtId="176" fontId="19" fillId="0" borderId="1" xfId="0" applyNumberFormat="1" applyFont="1" applyFill="1" applyBorder="1">
      <alignment vertical="center"/>
    </xf>
    <xf numFmtId="176" fontId="19" fillId="18" borderId="1" xfId="0" applyNumberFormat="1" applyFont="1" applyFill="1" applyBorder="1">
      <alignment vertical="center"/>
    </xf>
    <xf numFmtId="41" fontId="27" fillId="19" borderId="1" xfId="0" applyNumberFormat="1" applyFont="1" applyFill="1" applyBorder="1" applyAlignment="1">
      <alignment horizontal="center" vertical="center"/>
    </xf>
    <xf numFmtId="41" fontId="27" fillId="19" borderId="1" xfId="0" applyNumberFormat="1" applyFont="1" applyFill="1" applyBorder="1" applyAlignment="1" applyProtection="1">
      <alignment horizontal="center" vertical="center" wrapText="1"/>
      <protection locked="0"/>
    </xf>
    <xf numFmtId="0" fontId="27" fillId="19" borderId="1" xfId="0" applyFont="1" applyFill="1" applyBorder="1" applyAlignment="1" applyProtection="1">
      <alignment horizontal="center" vertical="center" wrapText="1"/>
      <protection locked="0"/>
    </xf>
    <xf numFmtId="0" fontId="27" fillId="19" borderId="1" xfId="0" applyFont="1" applyFill="1" applyBorder="1" applyAlignment="1" applyProtection="1">
      <alignment horizontal="center" vertical="center"/>
      <protection locked="0"/>
    </xf>
    <xf numFmtId="176" fontId="27" fillId="19" borderId="1" xfId="0" applyNumberFormat="1" applyFont="1" applyFill="1" applyBorder="1" applyAlignment="1" applyProtection="1">
      <alignment horizontal="center" vertical="center"/>
      <protection locked="0"/>
    </xf>
    <xf numFmtId="41" fontId="27" fillId="19" borderId="1" xfId="0" applyNumberFormat="1" applyFont="1" applyFill="1" applyBorder="1" applyAlignment="1" applyProtection="1">
      <alignment horizontal="center" vertical="center"/>
      <protection locked="0"/>
    </xf>
    <xf numFmtId="0" fontId="27" fillId="19" borderId="1" xfId="0" applyFont="1" applyFill="1" applyBorder="1" applyAlignment="1">
      <alignment horizontal="center" vertical="center" wrapText="1"/>
    </xf>
    <xf numFmtId="0" fontId="27" fillId="19" borderId="1" xfId="0" applyFont="1" applyFill="1" applyBorder="1" applyAlignment="1">
      <alignment horizontal="center" vertical="center"/>
    </xf>
    <xf numFmtId="177" fontId="37" fillId="19" borderId="1" xfId="0" applyNumberFormat="1" applyFont="1" applyFill="1" applyBorder="1" applyAlignment="1">
      <alignment horizontal="center" vertical="center"/>
    </xf>
    <xf numFmtId="179" fontId="37" fillId="19" borderId="1" xfId="0" applyNumberFormat="1" applyFont="1" applyFill="1" applyBorder="1" applyAlignment="1">
      <alignment horizontal="center" vertical="center"/>
    </xf>
    <xf numFmtId="41" fontId="37" fillId="19" borderId="1" xfId="0" applyNumberFormat="1" applyFont="1" applyFill="1" applyBorder="1" applyAlignment="1">
      <alignment horizontal="center" vertical="center" wrapText="1"/>
    </xf>
    <xf numFmtId="41" fontId="27" fillId="19" borderId="1" xfId="0" applyNumberFormat="1" applyFont="1" applyFill="1" applyBorder="1" applyAlignment="1" applyProtection="1">
      <alignment horizontal="center" vertical="center"/>
      <protection locked="0"/>
    </xf>
    <xf numFmtId="41" fontId="38" fillId="19" borderId="1" xfId="0" applyNumberFormat="1" applyFont="1" applyFill="1" applyBorder="1" applyAlignment="1" applyProtection="1">
      <alignment horizontal="center" vertical="center"/>
      <protection locked="0"/>
    </xf>
    <xf numFmtId="0" fontId="39" fillId="19" borderId="1" xfId="0" applyFont="1" applyFill="1" applyBorder="1" applyAlignment="1">
      <alignment horizontal="center" vertical="center" wrapText="1"/>
    </xf>
    <xf numFmtId="0" fontId="40" fillId="19" borderId="1" xfId="0" applyFont="1" applyFill="1" applyBorder="1" applyAlignment="1">
      <alignment horizontal="center" vertical="center"/>
    </xf>
    <xf numFmtId="0" fontId="27" fillId="20" borderId="0" xfId="0" applyFont="1" applyFill="1" applyBorder="1" applyAlignment="1">
      <alignment horizontal="center" vertical="center"/>
    </xf>
    <xf numFmtId="0" fontId="27" fillId="20" borderId="0" xfId="0" applyFont="1" applyFill="1" applyBorder="1" applyAlignment="1">
      <alignment horizontal="center" vertical="center" wrapText="1"/>
    </xf>
    <xf numFmtId="0" fontId="41" fillId="0" borderId="0" xfId="0" applyFont="1" applyBorder="1">
      <alignment vertical="center"/>
    </xf>
    <xf numFmtId="41" fontId="16" fillId="18" borderId="1" xfId="0" applyNumberFormat="1" applyFont="1" applyFill="1" applyBorder="1">
      <alignment vertical="center"/>
    </xf>
    <xf numFmtId="41" fontId="16" fillId="0" borderId="1" xfId="0" applyNumberFormat="1" applyFont="1" applyBorder="1">
      <alignment vertical="center"/>
    </xf>
    <xf numFmtId="176" fontId="16" fillId="18" borderId="1" xfId="0" applyNumberFormat="1" applyFont="1" applyFill="1" applyBorder="1">
      <alignment vertical="center"/>
    </xf>
    <xf numFmtId="0" fontId="44" fillId="21" borderId="1" xfId="0" applyFont="1" applyFill="1" applyBorder="1" applyAlignment="1">
      <alignment horizontal="center" vertical="center"/>
    </xf>
    <xf numFmtId="0" fontId="42" fillId="0" borderId="1" xfId="0" applyFont="1" applyBorder="1">
      <alignment vertical="center"/>
    </xf>
    <xf numFmtId="0" fontId="45" fillId="0" borderId="4" xfId="0" applyFont="1" applyFill="1" applyBorder="1">
      <alignment vertical="center"/>
    </xf>
    <xf numFmtId="0" fontId="46" fillId="20" borderId="1" xfId="0" applyFont="1" applyFill="1" applyBorder="1">
      <alignment vertical="center"/>
    </xf>
    <xf numFmtId="0" fontId="19" fillId="0" borderId="1" xfId="0" applyFont="1" applyBorder="1">
      <alignment vertical="center"/>
    </xf>
    <xf numFmtId="0" fontId="48" fillId="0" borderId="1" xfId="0" applyFont="1" applyBorder="1">
      <alignment vertical="center"/>
    </xf>
    <xf numFmtId="0" fontId="47" fillId="0" borderId="1" xfId="0" applyFont="1" applyBorder="1">
      <alignment vertical="center"/>
    </xf>
    <xf numFmtId="0" fontId="13" fillId="0" borderId="1" xfId="0" applyFont="1" applyBorder="1">
      <alignment vertical="center"/>
    </xf>
    <xf numFmtId="0" fontId="15" fillId="0" borderId="1" xfId="0" applyFont="1" applyBorder="1">
      <alignment vertical="center"/>
    </xf>
    <xf numFmtId="0" fontId="27" fillId="20" borderId="1" xfId="0" applyFont="1" applyFill="1" applyBorder="1" applyAlignment="1">
      <alignment horizontal="center" vertical="center"/>
    </xf>
    <xf numFmtId="0" fontId="49" fillId="0" borderId="1" xfId="0" applyFont="1" applyBorder="1">
      <alignment vertical="center"/>
    </xf>
    <xf numFmtId="0" fontId="50" fillId="0" borderId="1" xfId="0" applyFont="1" applyBorder="1">
      <alignment vertical="center"/>
    </xf>
    <xf numFmtId="0" fontId="51" fillId="0" borderId="1" xfId="0" applyFont="1" applyBorder="1">
      <alignment vertical="center"/>
    </xf>
    <xf numFmtId="0" fontId="52" fillId="0" borderId="0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54" fillId="20" borderId="1" xfId="0" applyFont="1" applyFill="1" applyBorder="1" applyAlignment="1">
      <alignment horizontal="center" vertical="center"/>
    </xf>
    <xf numFmtId="41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0" fontId="53" fillId="22" borderId="1" xfId="0" applyFont="1" applyFill="1" applyBorder="1" applyAlignment="1">
      <alignment horizontal="center" vertical="center"/>
    </xf>
    <xf numFmtId="41" fontId="54" fillId="20" borderId="1" xfId="0" applyNumberFormat="1" applyFont="1" applyFill="1" applyBorder="1">
      <alignment vertical="center"/>
    </xf>
    <xf numFmtId="0" fontId="54" fillId="20" borderId="1" xfId="0" applyFont="1" applyFill="1" applyBorder="1">
      <alignment vertical="center"/>
    </xf>
    <xf numFmtId="0" fontId="2" fillId="14" borderId="0" xfId="0" applyFont="1" applyFill="1" applyBorder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12" fillId="14" borderId="0" xfId="0" applyFont="1" applyFill="1" applyAlignment="1">
      <alignment horizontal="right" vertical="center"/>
    </xf>
    <xf numFmtId="0" fontId="52" fillId="14" borderId="1" xfId="0" applyFont="1" applyFill="1" applyBorder="1">
      <alignment vertical="center"/>
    </xf>
    <xf numFmtId="41" fontId="52" fillId="14" borderId="1" xfId="0" applyNumberFormat="1" applyFont="1" applyFill="1" applyBorder="1">
      <alignment vertical="center"/>
    </xf>
    <xf numFmtId="176" fontId="52" fillId="14" borderId="1" xfId="0" applyNumberFormat="1" applyFont="1" applyFill="1" applyBorder="1">
      <alignment vertical="center"/>
    </xf>
    <xf numFmtId="0" fontId="52" fillId="14" borderId="1" xfId="0" applyFont="1" applyFill="1" applyBorder="1" applyAlignment="1">
      <alignment horizontal="center" vertical="center"/>
    </xf>
    <xf numFmtId="0" fontId="53" fillId="23" borderId="18" xfId="0" applyFont="1" applyFill="1" applyBorder="1" applyAlignment="1" applyProtection="1">
      <alignment horizontal="center" vertical="center" wrapText="1"/>
      <protection locked="0"/>
    </xf>
    <xf numFmtId="0" fontId="53" fillId="23" borderId="18" xfId="0" applyFont="1" applyFill="1" applyBorder="1" applyAlignment="1" applyProtection="1">
      <alignment horizontal="center" vertical="center"/>
      <protection locked="0"/>
    </xf>
    <xf numFmtId="176" fontId="53" fillId="23" borderId="18" xfId="0" applyNumberFormat="1" applyFont="1" applyFill="1" applyBorder="1" applyAlignment="1" applyProtection="1">
      <alignment horizontal="center" vertical="center"/>
      <protection locked="0"/>
    </xf>
    <xf numFmtId="41" fontId="53" fillId="23" borderId="18" xfId="0" applyNumberFormat="1" applyFont="1" applyFill="1" applyBorder="1" applyAlignment="1" applyProtection="1">
      <alignment horizontal="center" vertical="center"/>
      <protection locked="0"/>
    </xf>
    <xf numFmtId="41" fontId="53" fillId="23" borderId="18" xfId="0" applyNumberFormat="1" applyFont="1" applyFill="1" applyBorder="1" applyAlignment="1">
      <alignment horizontal="center" vertical="center"/>
    </xf>
    <xf numFmtId="177" fontId="53" fillId="23" borderId="18" xfId="0" applyNumberFormat="1" applyFont="1" applyFill="1" applyBorder="1" applyAlignment="1">
      <alignment horizontal="center" vertical="center"/>
    </xf>
    <xf numFmtId="41" fontId="53" fillId="23" borderId="18" xfId="0" applyNumberFormat="1" applyFont="1" applyFill="1" applyBorder="1" applyAlignment="1" applyProtection="1">
      <alignment horizontal="center" vertical="center" wrapText="1"/>
      <protection locked="0"/>
    </xf>
    <xf numFmtId="177" fontId="11" fillId="0" borderId="18" xfId="0" applyNumberFormat="1" applyFont="1" applyFill="1" applyBorder="1" applyAlignment="1">
      <alignment horizontal="right" vertical="center"/>
    </xf>
    <xf numFmtId="41" fontId="11" fillId="0" borderId="18" xfId="0" applyNumberFormat="1" applyFont="1" applyFill="1" applyBorder="1" applyAlignment="1">
      <alignment horizontal="center" vertical="center"/>
    </xf>
    <xf numFmtId="41" fontId="52" fillId="8" borderId="18" xfId="0" applyNumberFormat="1" applyFont="1" applyFill="1" applyBorder="1">
      <alignment vertical="center"/>
    </xf>
    <xf numFmtId="179" fontId="11" fillId="0" borderId="18" xfId="0" applyNumberFormat="1" applyFont="1" applyBorder="1">
      <alignment vertical="center"/>
    </xf>
    <xf numFmtId="41" fontId="52" fillId="0" borderId="18" xfId="0" applyNumberFormat="1" applyFont="1" applyFill="1" applyBorder="1">
      <alignment vertical="center"/>
    </xf>
    <xf numFmtId="0" fontId="56" fillId="0" borderId="18" xfId="0" applyFont="1" applyFill="1" applyBorder="1" applyAlignment="1" applyProtection="1">
      <alignment horizontal="left" vertical="center"/>
    </xf>
    <xf numFmtId="41" fontId="55" fillId="5" borderId="18" xfId="0" applyNumberFormat="1" applyFont="1" applyFill="1" applyBorder="1" applyAlignment="1" applyProtection="1">
      <alignment horizontal="right" vertical="center"/>
      <protection locked="0"/>
    </xf>
    <xf numFmtId="41" fontId="11" fillId="0" borderId="18" xfId="0" applyNumberFormat="1" applyFont="1" applyFill="1" applyBorder="1" applyAlignment="1">
      <alignment horizontal="right" vertical="center"/>
    </xf>
    <xf numFmtId="177" fontId="11" fillId="0" borderId="18" xfId="0" applyNumberFormat="1" applyFont="1" applyFill="1" applyBorder="1">
      <alignment vertical="center"/>
    </xf>
    <xf numFmtId="41" fontId="45" fillId="8" borderId="18" xfId="0" applyNumberFormat="1" applyFont="1" applyFill="1" applyBorder="1">
      <alignment vertical="center"/>
    </xf>
    <xf numFmtId="0" fontId="11" fillId="0" borderId="0" xfId="0" applyFont="1" applyBorder="1">
      <alignment vertical="center"/>
    </xf>
    <xf numFmtId="179" fontId="53" fillId="23" borderId="18" xfId="0" applyNumberFormat="1" applyFont="1" applyFill="1" applyBorder="1" applyAlignment="1">
      <alignment horizontal="center" vertical="center" wrapText="1"/>
    </xf>
    <xf numFmtId="41" fontId="53" fillId="23" borderId="18" xfId="0" applyNumberFormat="1" applyFont="1" applyFill="1" applyBorder="1" applyAlignment="1">
      <alignment horizontal="center" vertical="center" wrapText="1"/>
    </xf>
    <xf numFmtId="176" fontId="11" fillId="0" borderId="18" xfId="0" applyNumberFormat="1" applyFont="1" applyFill="1" applyBorder="1" applyAlignment="1">
      <alignment horizontal="center" vertical="center"/>
    </xf>
    <xf numFmtId="9" fontId="11" fillId="0" borderId="18" xfId="0" applyNumberFormat="1" applyFont="1" applyFill="1" applyBorder="1">
      <alignment vertical="center"/>
    </xf>
    <xf numFmtId="179" fontId="11" fillId="0" borderId="18" xfId="0" applyNumberFormat="1" applyFont="1" applyFill="1" applyBorder="1">
      <alignment vertical="center"/>
    </xf>
    <xf numFmtId="0" fontId="56" fillId="0" borderId="18" xfId="0" applyFont="1" applyFill="1" applyBorder="1" applyAlignment="1">
      <alignment vertical="center"/>
    </xf>
    <xf numFmtId="0" fontId="57" fillId="0" borderId="0" xfId="0" applyFont="1" applyFill="1" applyBorder="1" applyAlignment="1" applyProtection="1">
      <alignment vertical="center"/>
      <protection locked="0"/>
    </xf>
    <xf numFmtId="9" fontId="11" fillId="0" borderId="19" xfId="0" applyNumberFormat="1" applyFont="1" applyFill="1" applyBorder="1">
      <alignment vertical="center"/>
    </xf>
    <xf numFmtId="0" fontId="11" fillId="0" borderId="19" xfId="0" applyFont="1" applyBorder="1" applyAlignment="1">
      <alignment horizontal="center" vertical="center"/>
    </xf>
    <xf numFmtId="41" fontId="53" fillId="24" borderId="19" xfId="0" applyNumberFormat="1" applyFont="1" applyFill="1" applyBorder="1" applyAlignment="1">
      <alignment horizontal="center" vertical="center" wrapText="1"/>
    </xf>
    <xf numFmtId="41" fontId="53" fillId="24" borderId="19" xfId="0" applyNumberFormat="1" applyFont="1" applyFill="1" applyBorder="1" applyAlignment="1" applyProtection="1">
      <alignment horizontal="center" vertical="center" wrapText="1"/>
      <protection locked="0"/>
    </xf>
    <xf numFmtId="41" fontId="56" fillId="0" borderId="19" xfId="0" applyNumberFormat="1" applyFont="1" applyFill="1" applyBorder="1" applyAlignment="1" applyProtection="1">
      <alignment horizontal="right" vertical="center"/>
      <protection locked="0"/>
    </xf>
    <xf numFmtId="9" fontId="56" fillId="0" borderId="19" xfId="0" applyNumberFormat="1" applyFont="1" applyFill="1" applyBorder="1" applyAlignment="1" applyProtection="1">
      <alignment horizontal="right" vertical="center"/>
      <protection locked="0"/>
    </xf>
    <xf numFmtId="181" fontId="11" fillId="0" borderId="19" xfId="0" applyNumberFormat="1" applyFont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56" fillId="0" borderId="19" xfId="0" applyFont="1" applyFill="1" applyBorder="1" applyAlignment="1" applyProtection="1">
      <alignment horizontal="center" vertical="center" wrapText="1"/>
    </xf>
    <xf numFmtId="0" fontId="56" fillId="0" borderId="18" xfId="0" applyFont="1" applyFill="1" applyBorder="1" applyAlignment="1" applyProtection="1">
      <alignment horizontal="center" vertical="center" wrapText="1"/>
      <protection locked="0"/>
    </xf>
    <xf numFmtId="0" fontId="11" fillId="0" borderId="19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1" fillId="0" borderId="19" xfId="0" applyFont="1" applyBorder="1" applyAlignment="1">
      <alignment horizontal="center" vertical="center" wrapText="1"/>
    </xf>
    <xf numFmtId="9" fontId="11" fillId="0" borderId="0" xfId="0" applyNumberFormat="1" applyFont="1">
      <alignment vertical="center"/>
    </xf>
    <xf numFmtId="177" fontId="17" fillId="0" borderId="0" xfId="0" applyNumberFormat="1" applyFont="1" applyFill="1" applyBorder="1">
      <alignment vertical="center"/>
    </xf>
    <xf numFmtId="0" fontId="53" fillId="23" borderId="19" xfId="0" applyFont="1" applyFill="1" applyBorder="1" applyAlignment="1" applyProtection="1">
      <alignment horizontal="center" vertical="center" wrapText="1"/>
      <protection locked="0"/>
    </xf>
    <xf numFmtId="41" fontId="17" fillId="0" borderId="0" xfId="2" applyFont="1" applyFill="1" applyBorder="1">
      <alignment vertical="center"/>
    </xf>
    <xf numFmtId="41" fontId="13" fillId="0" borderId="0" xfId="2" applyFont="1" applyBorder="1">
      <alignment vertical="center"/>
    </xf>
    <xf numFmtId="41" fontId="53" fillId="25" borderId="19" xfId="2" applyFont="1" applyFill="1" applyBorder="1" applyAlignment="1">
      <alignment horizontal="center" vertical="center" wrapText="1"/>
    </xf>
    <xf numFmtId="0" fontId="60" fillId="0" borderId="0" xfId="0" applyFont="1" applyFill="1" applyBorder="1" applyAlignment="1" applyProtection="1">
      <alignment vertical="center"/>
      <protection locked="0"/>
    </xf>
    <xf numFmtId="0" fontId="11" fillId="14" borderId="19" xfId="0" applyFont="1" applyFill="1" applyBorder="1" applyAlignment="1">
      <alignment horizontal="right" vertical="center"/>
    </xf>
    <xf numFmtId="0" fontId="11" fillId="14" borderId="19" xfId="0" applyFont="1" applyFill="1" applyBorder="1" applyAlignment="1">
      <alignment horizontal="center" vertical="center"/>
    </xf>
    <xf numFmtId="0" fontId="11" fillId="14" borderId="19" xfId="0" applyFont="1" applyFill="1" applyBorder="1">
      <alignment vertical="center"/>
    </xf>
    <xf numFmtId="0" fontId="1" fillId="14" borderId="0" xfId="0" applyFont="1" applyFill="1">
      <alignment vertical="center"/>
    </xf>
    <xf numFmtId="177" fontId="56" fillId="14" borderId="19" xfId="0" applyNumberFormat="1" applyFont="1" applyFill="1" applyBorder="1">
      <alignment vertical="center"/>
    </xf>
    <xf numFmtId="41" fontId="56" fillId="14" borderId="19" xfId="2" applyFont="1" applyFill="1" applyBorder="1">
      <alignment vertical="center"/>
    </xf>
    <xf numFmtId="0" fontId="32" fillId="14" borderId="19" xfId="0" applyFont="1" applyFill="1" applyBorder="1" applyAlignment="1">
      <alignment vertical="center"/>
    </xf>
    <xf numFmtId="0" fontId="56" fillId="14" borderId="19" xfId="0" applyFont="1" applyFill="1" applyBorder="1">
      <alignment vertical="center"/>
    </xf>
    <xf numFmtId="0" fontId="53" fillId="23" borderId="19" xfId="0" applyFont="1" applyFill="1" applyBorder="1" applyAlignment="1" applyProtection="1">
      <alignment horizontal="center" vertical="center"/>
      <protection locked="0"/>
    </xf>
    <xf numFmtId="176" fontId="53" fillId="23" borderId="19" xfId="0" applyNumberFormat="1" applyFont="1" applyFill="1" applyBorder="1" applyAlignment="1" applyProtection="1">
      <alignment horizontal="center" vertical="center"/>
      <protection locked="0"/>
    </xf>
    <xf numFmtId="41" fontId="53" fillId="23" borderId="19" xfId="0" applyNumberFormat="1" applyFont="1" applyFill="1" applyBorder="1" applyAlignment="1" applyProtection="1">
      <alignment horizontal="center" vertical="center"/>
      <protection locked="0"/>
    </xf>
    <xf numFmtId="177" fontId="53" fillId="25" borderId="19" xfId="0" applyNumberFormat="1" applyFont="1" applyFill="1" applyBorder="1" applyAlignment="1">
      <alignment horizontal="center" vertical="center" wrapText="1"/>
    </xf>
    <xf numFmtId="0" fontId="32" fillId="14" borderId="17" xfId="0" applyFont="1" applyFill="1" applyBorder="1">
      <alignment vertical="center"/>
    </xf>
    <xf numFmtId="0" fontId="32" fillId="14" borderId="19" xfId="0" applyFont="1" applyFill="1" applyBorder="1">
      <alignment vertical="center"/>
    </xf>
    <xf numFmtId="41" fontId="56" fillId="14" borderId="19" xfId="0" applyNumberFormat="1" applyFont="1" applyFill="1" applyBorder="1">
      <alignment vertical="center"/>
    </xf>
    <xf numFmtId="0" fontId="11" fillId="14" borderId="19" xfId="0" applyFont="1" applyFill="1" applyBorder="1" applyAlignment="1">
      <alignment vertical="center" wrapText="1"/>
    </xf>
    <xf numFmtId="0" fontId="32" fillId="14" borderId="17" xfId="0" applyFont="1" applyFill="1" applyBorder="1" applyAlignment="1">
      <alignment vertical="center"/>
    </xf>
    <xf numFmtId="0" fontId="61" fillId="0" borderId="0" xfId="0" applyFont="1" applyFill="1" applyBorder="1" applyAlignment="1" applyProtection="1">
      <alignment horizontal="center" vertical="center"/>
      <protection locked="0"/>
    </xf>
    <xf numFmtId="0" fontId="19" fillId="0" borderId="0" xfId="0" applyFont="1" applyBorder="1" applyAlignment="1">
      <alignment horizontal="left" vertical="center"/>
    </xf>
    <xf numFmtId="0" fontId="42" fillId="0" borderId="0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7" fillId="0" borderId="1" xfId="0" applyFont="1" applyBorder="1" applyAlignment="1" applyProtection="1">
      <alignment horizontal="center" vertical="center" wrapText="1"/>
    </xf>
    <xf numFmtId="0" fontId="17" fillId="4" borderId="1" xfId="0" applyFont="1" applyFill="1" applyBorder="1" applyAlignment="1" applyProtection="1">
      <alignment horizontal="center" vertical="center" wrapText="1"/>
    </xf>
    <xf numFmtId="0" fontId="17" fillId="4" borderId="4" xfId="0" applyFont="1" applyFill="1" applyBorder="1" applyAlignment="1" applyProtection="1">
      <alignment horizontal="center" vertical="center" wrapText="1"/>
    </xf>
    <xf numFmtId="0" fontId="17" fillId="4" borderId="2" xfId="0" applyFont="1" applyFill="1" applyBorder="1" applyAlignment="1" applyProtection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7" fillId="0" borderId="1" xfId="0" applyFont="1" applyBorder="1" applyAlignment="1" applyProtection="1">
      <alignment horizontal="center" vertical="center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0" fontId="17" fillId="0" borderId="1" xfId="0" applyFont="1" applyFill="1" applyBorder="1" applyAlignment="1" applyProtection="1">
      <alignment horizontal="center" vertical="center" wrapText="1"/>
    </xf>
    <xf numFmtId="0" fontId="17" fillId="0" borderId="3" xfId="0" applyFont="1" applyBorder="1" applyAlignment="1" applyProtection="1">
      <alignment horizontal="center" vertical="center" wrapText="1"/>
    </xf>
    <xf numFmtId="0" fontId="17" fillId="0" borderId="4" xfId="0" applyFont="1" applyBorder="1" applyAlignment="1" applyProtection="1">
      <alignment horizontal="center" vertical="center" wrapText="1"/>
    </xf>
    <xf numFmtId="0" fontId="17" fillId="0" borderId="2" xfId="0" applyFont="1" applyBorder="1" applyAlignment="1" applyProtection="1">
      <alignment horizontal="center" vertical="center" wrapText="1"/>
    </xf>
    <xf numFmtId="0" fontId="17" fillId="0" borderId="3" xfId="0" applyFont="1" applyFill="1" applyBorder="1" applyAlignment="1" applyProtection="1">
      <alignment horizontal="center" vertical="center" wrapText="1"/>
      <protection locked="0"/>
    </xf>
    <xf numFmtId="0" fontId="17" fillId="0" borderId="4" xfId="0" applyFont="1" applyFill="1" applyBorder="1" applyAlignment="1" applyProtection="1">
      <alignment horizontal="center" vertical="center" wrapText="1"/>
      <protection locked="0"/>
    </xf>
    <xf numFmtId="0" fontId="17" fillId="0" borderId="2" xfId="0" applyFont="1" applyFill="1" applyBorder="1" applyAlignment="1" applyProtection="1">
      <alignment horizontal="center" vertical="center" wrapText="1"/>
      <protection locked="0"/>
    </xf>
    <xf numFmtId="0" fontId="13" fillId="0" borderId="2" xfId="0" applyFont="1" applyBorder="1" applyAlignment="1">
      <alignment horizontal="center" vertical="center" wrapText="1"/>
    </xf>
    <xf numFmtId="0" fontId="43" fillId="0" borderId="0" xfId="0" applyFont="1" applyAlignment="1">
      <alignment horizontal="left" vertical="center"/>
    </xf>
    <xf numFmtId="0" fontId="42" fillId="14" borderId="0" xfId="0" applyFont="1" applyFill="1" applyBorder="1" applyAlignment="1">
      <alignment horizontal="left" vertical="center"/>
    </xf>
    <xf numFmtId="0" fontId="29" fillId="0" borderId="3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 wrapText="1"/>
    </xf>
    <xf numFmtId="0" fontId="30" fillId="12" borderId="1" xfId="0" applyFont="1" applyFill="1" applyBorder="1" applyAlignment="1">
      <alignment horizontal="center" vertical="center" wrapText="1"/>
    </xf>
    <xf numFmtId="0" fontId="30" fillId="12" borderId="3" xfId="0" applyFont="1" applyFill="1" applyBorder="1" applyAlignment="1">
      <alignment horizontal="center" vertical="center" wrapText="1"/>
    </xf>
    <xf numFmtId="0" fontId="32" fillId="13" borderId="1" xfId="0" applyFont="1" applyFill="1" applyBorder="1" applyAlignment="1">
      <alignment horizontal="center" vertical="center" wrapText="1"/>
    </xf>
    <xf numFmtId="0" fontId="32" fillId="13" borderId="3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</cellXfs>
  <cellStyles count="133">
    <cellStyle name="쉼표 [0]" xfId="2" builtinId="6"/>
    <cellStyle name="쉼표 [0] 10" xfId="7" xr:uid="{00000000-0005-0000-0000-000002000000}"/>
    <cellStyle name="쉼표 [0] 10 2" xfId="8" xr:uid="{00000000-0005-0000-0000-000003000000}"/>
    <cellStyle name="쉼표 [0] 10 2 2" xfId="95" xr:uid="{00000000-0005-0000-0000-000004000000}"/>
    <cellStyle name="쉼표 [0] 10 3" xfId="94" xr:uid="{00000000-0005-0000-0000-000005000000}"/>
    <cellStyle name="쉼표 [0] 11" xfId="9" xr:uid="{00000000-0005-0000-0000-000006000000}"/>
    <cellStyle name="쉼표 [0] 11 2" xfId="10" xr:uid="{00000000-0005-0000-0000-000007000000}"/>
    <cellStyle name="쉼표 [0] 11 2 2" xfId="97" xr:uid="{00000000-0005-0000-0000-000008000000}"/>
    <cellStyle name="쉼표 [0] 11 3" xfId="96" xr:uid="{00000000-0005-0000-0000-000009000000}"/>
    <cellStyle name="쉼표 [0] 12" xfId="11" xr:uid="{00000000-0005-0000-0000-00000A000000}"/>
    <cellStyle name="쉼표 [0] 12 2" xfId="12" xr:uid="{00000000-0005-0000-0000-00000B000000}"/>
    <cellStyle name="쉼표 [0] 12 2 2" xfId="99" xr:uid="{00000000-0005-0000-0000-00000C000000}"/>
    <cellStyle name="쉼표 [0] 12 3" xfId="98" xr:uid="{00000000-0005-0000-0000-00000D000000}"/>
    <cellStyle name="쉼표 [0] 13" xfId="13" xr:uid="{00000000-0005-0000-0000-00000E000000}"/>
    <cellStyle name="쉼표 [0] 13 2" xfId="14" xr:uid="{00000000-0005-0000-0000-00000F000000}"/>
    <cellStyle name="쉼표 [0] 13 2 2" xfId="101" xr:uid="{00000000-0005-0000-0000-000010000000}"/>
    <cellStyle name="쉼표 [0] 13 3" xfId="100" xr:uid="{00000000-0005-0000-0000-000011000000}"/>
    <cellStyle name="쉼표 [0] 14" xfId="15" xr:uid="{00000000-0005-0000-0000-000012000000}"/>
    <cellStyle name="쉼표 [0] 14 2" xfId="16" xr:uid="{00000000-0005-0000-0000-000013000000}"/>
    <cellStyle name="쉼표 [0] 14 2 2" xfId="103" xr:uid="{00000000-0005-0000-0000-000014000000}"/>
    <cellStyle name="쉼표 [0] 14 3" xfId="102" xr:uid="{00000000-0005-0000-0000-000015000000}"/>
    <cellStyle name="쉼표 [0] 15" xfId="17" xr:uid="{00000000-0005-0000-0000-000016000000}"/>
    <cellStyle name="쉼표 [0] 15 2" xfId="18" xr:uid="{00000000-0005-0000-0000-000017000000}"/>
    <cellStyle name="쉼표 [0] 15 2 2" xfId="105" xr:uid="{00000000-0005-0000-0000-000018000000}"/>
    <cellStyle name="쉼표 [0] 15 3" xfId="104" xr:uid="{00000000-0005-0000-0000-000019000000}"/>
    <cellStyle name="쉼표 [0] 16" xfId="19" xr:uid="{00000000-0005-0000-0000-00001A000000}"/>
    <cellStyle name="쉼표 [0] 16 2" xfId="20" xr:uid="{00000000-0005-0000-0000-00001B000000}"/>
    <cellStyle name="쉼표 [0] 16 2 2" xfId="107" xr:uid="{00000000-0005-0000-0000-00001C000000}"/>
    <cellStyle name="쉼표 [0] 16 3" xfId="106" xr:uid="{00000000-0005-0000-0000-00001D000000}"/>
    <cellStyle name="쉼표 [0] 17" xfId="21" xr:uid="{00000000-0005-0000-0000-00001E000000}"/>
    <cellStyle name="쉼표 [0] 17 2" xfId="22" xr:uid="{00000000-0005-0000-0000-00001F000000}"/>
    <cellStyle name="쉼표 [0] 17 2 2" xfId="109" xr:uid="{00000000-0005-0000-0000-000020000000}"/>
    <cellStyle name="쉼표 [0] 17 3" xfId="108" xr:uid="{00000000-0005-0000-0000-000021000000}"/>
    <cellStyle name="쉼표 [0] 18" xfId="23" xr:uid="{00000000-0005-0000-0000-000022000000}"/>
    <cellStyle name="쉼표 [0] 18 2" xfId="24" xr:uid="{00000000-0005-0000-0000-000023000000}"/>
    <cellStyle name="쉼표 [0] 18 2 2" xfId="111" xr:uid="{00000000-0005-0000-0000-000024000000}"/>
    <cellStyle name="쉼표 [0] 18 3" xfId="110" xr:uid="{00000000-0005-0000-0000-000025000000}"/>
    <cellStyle name="쉼표 [0] 19" xfId="25" xr:uid="{00000000-0005-0000-0000-000026000000}"/>
    <cellStyle name="쉼표 [0] 19 2" xfId="112" xr:uid="{00000000-0005-0000-0000-000027000000}"/>
    <cellStyle name="쉼표 [0] 2" xfId="26" xr:uid="{00000000-0005-0000-0000-000028000000}"/>
    <cellStyle name="쉼표 [0] 2 2" xfId="27" xr:uid="{00000000-0005-0000-0000-000029000000}"/>
    <cellStyle name="쉼표 [0] 2 2 2" xfId="114" xr:uid="{00000000-0005-0000-0000-00002A000000}"/>
    <cellStyle name="쉼표 [0] 2 3" xfId="113" xr:uid="{00000000-0005-0000-0000-00002B000000}"/>
    <cellStyle name="쉼표 [0] 20" xfId="28" xr:uid="{00000000-0005-0000-0000-00002C000000}"/>
    <cellStyle name="쉼표 [0] 20 2" xfId="115" xr:uid="{00000000-0005-0000-0000-00002D000000}"/>
    <cellStyle name="쉼표 [0] 21" xfId="29" xr:uid="{00000000-0005-0000-0000-00002E000000}"/>
    <cellStyle name="쉼표 [0] 21 2" xfId="116" xr:uid="{00000000-0005-0000-0000-00002F000000}"/>
    <cellStyle name="쉼표 [0] 22" xfId="30" xr:uid="{00000000-0005-0000-0000-000030000000}"/>
    <cellStyle name="쉼표 [0] 22 2" xfId="117" xr:uid="{00000000-0005-0000-0000-000031000000}"/>
    <cellStyle name="쉼표 [0] 23" xfId="31" xr:uid="{00000000-0005-0000-0000-000032000000}"/>
    <cellStyle name="쉼표 [0] 23 2" xfId="118" xr:uid="{00000000-0005-0000-0000-000033000000}"/>
    <cellStyle name="쉼표 [0] 24" xfId="6" xr:uid="{00000000-0005-0000-0000-000034000000}"/>
    <cellStyle name="쉼표 [0] 25" xfId="93" xr:uid="{00000000-0005-0000-0000-000035000000}"/>
    <cellStyle name="쉼표 [0] 3" xfId="32" xr:uid="{00000000-0005-0000-0000-000036000000}"/>
    <cellStyle name="쉼표 [0] 3 2" xfId="33" xr:uid="{00000000-0005-0000-0000-000037000000}"/>
    <cellStyle name="쉼표 [0] 3 2 2" xfId="120" xr:uid="{00000000-0005-0000-0000-000038000000}"/>
    <cellStyle name="쉼표 [0] 3 3" xfId="119" xr:uid="{00000000-0005-0000-0000-000039000000}"/>
    <cellStyle name="쉼표 [0] 36" xfId="4" xr:uid="{00000000-0005-0000-0000-00003A000000}"/>
    <cellStyle name="쉼표 [0] 36 2" xfId="34" xr:uid="{00000000-0005-0000-0000-00003B000000}"/>
    <cellStyle name="쉼표 [0] 36 3" xfId="121" xr:uid="{00000000-0005-0000-0000-00003C000000}"/>
    <cellStyle name="쉼표 [0] 4" xfId="35" xr:uid="{00000000-0005-0000-0000-00003D000000}"/>
    <cellStyle name="쉼표 [0] 4 2" xfId="36" xr:uid="{00000000-0005-0000-0000-00003E000000}"/>
    <cellStyle name="쉼표 [0] 4 2 2" xfId="123" xr:uid="{00000000-0005-0000-0000-00003F000000}"/>
    <cellStyle name="쉼표 [0] 4 3" xfId="122" xr:uid="{00000000-0005-0000-0000-000040000000}"/>
    <cellStyle name="쉼표 [0] 5" xfId="37" xr:uid="{00000000-0005-0000-0000-000041000000}"/>
    <cellStyle name="쉼표 [0] 5 2" xfId="38" xr:uid="{00000000-0005-0000-0000-000042000000}"/>
    <cellStyle name="쉼표 [0] 5 2 2" xfId="125" xr:uid="{00000000-0005-0000-0000-000043000000}"/>
    <cellStyle name="쉼표 [0] 5 3" xfId="124" xr:uid="{00000000-0005-0000-0000-000044000000}"/>
    <cellStyle name="쉼표 [0] 6" xfId="39" xr:uid="{00000000-0005-0000-0000-000045000000}"/>
    <cellStyle name="쉼표 [0] 6 2" xfId="40" xr:uid="{00000000-0005-0000-0000-000046000000}"/>
    <cellStyle name="쉼표 [0] 6 2 2" xfId="127" xr:uid="{00000000-0005-0000-0000-000047000000}"/>
    <cellStyle name="쉼표 [0] 6 3" xfId="126" xr:uid="{00000000-0005-0000-0000-000048000000}"/>
    <cellStyle name="쉼표 [0] 7" xfId="41" xr:uid="{00000000-0005-0000-0000-000049000000}"/>
    <cellStyle name="쉼표 [0] 7 2" xfId="42" xr:uid="{00000000-0005-0000-0000-00004A000000}"/>
    <cellStyle name="쉼표 [0] 7 2 2" xfId="129" xr:uid="{00000000-0005-0000-0000-00004B000000}"/>
    <cellStyle name="쉼표 [0] 7 3" xfId="128" xr:uid="{00000000-0005-0000-0000-00004C000000}"/>
    <cellStyle name="쉼표 [0] 8" xfId="43" xr:uid="{00000000-0005-0000-0000-00004D000000}"/>
    <cellStyle name="쉼표 [0] 8 2" xfId="130" xr:uid="{00000000-0005-0000-0000-00004E000000}"/>
    <cellStyle name="쉼표 [0] 9" xfId="44" xr:uid="{00000000-0005-0000-0000-00004F000000}"/>
    <cellStyle name="쉼표 [0] 9 2" xfId="45" xr:uid="{00000000-0005-0000-0000-000050000000}"/>
    <cellStyle name="쉼표 [0] 9 2 2" xfId="132" xr:uid="{00000000-0005-0000-0000-000051000000}"/>
    <cellStyle name="쉼표 [0] 9 3" xfId="131" xr:uid="{00000000-0005-0000-0000-000052000000}"/>
    <cellStyle name="표준" xfId="0" builtinId="0"/>
    <cellStyle name="표준 10" xfId="46" xr:uid="{00000000-0005-0000-0000-000054000000}"/>
    <cellStyle name="표준 108" xfId="3" xr:uid="{00000000-0005-0000-0000-000055000000}"/>
    <cellStyle name="표준 108 2" xfId="47" xr:uid="{00000000-0005-0000-0000-000056000000}"/>
    <cellStyle name="표준 11" xfId="48" xr:uid="{00000000-0005-0000-0000-000057000000}"/>
    <cellStyle name="표준 11 2" xfId="49" xr:uid="{00000000-0005-0000-0000-000058000000}"/>
    <cellStyle name="표준 12" xfId="50" xr:uid="{00000000-0005-0000-0000-000059000000}"/>
    <cellStyle name="표준 12 2" xfId="51" xr:uid="{00000000-0005-0000-0000-00005A000000}"/>
    <cellStyle name="표준 13" xfId="52" xr:uid="{00000000-0005-0000-0000-00005B000000}"/>
    <cellStyle name="표준 13 2" xfId="53" xr:uid="{00000000-0005-0000-0000-00005C000000}"/>
    <cellStyle name="표준 14" xfId="54" xr:uid="{00000000-0005-0000-0000-00005D000000}"/>
    <cellStyle name="표준 14 2" xfId="55" xr:uid="{00000000-0005-0000-0000-00005E000000}"/>
    <cellStyle name="표준 14 3" xfId="56" xr:uid="{00000000-0005-0000-0000-00005F000000}"/>
    <cellStyle name="표준 15" xfId="57" xr:uid="{00000000-0005-0000-0000-000060000000}"/>
    <cellStyle name="표준 15 2" xfId="58" xr:uid="{00000000-0005-0000-0000-000061000000}"/>
    <cellStyle name="표준 16" xfId="59" xr:uid="{00000000-0005-0000-0000-000062000000}"/>
    <cellStyle name="표준 16 2" xfId="60" xr:uid="{00000000-0005-0000-0000-000063000000}"/>
    <cellStyle name="표준 17" xfId="61" xr:uid="{00000000-0005-0000-0000-000064000000}"/>
    <cellStyle name="표준 17 2" xfId="62" xr:uid="{00000000-0005-0000-0000-000065000000}"/>
    <cellStyle name="표준 18" xfId="63" xr:uid="{00000000-0005-0000-0000-000066000000}"/>
    <cellStyle name="표준 18 2" xfId="64" xr:uid="{00000000-0005-0000-0000-000067000000}"/>
    <cellStyle name="표준 19" xfId="65" xr:uid="{00000000-0005-0000-0000-000068000000}"/>
    <cellStyle name="표준 19 2" xfId="66" xr:uid="{00000000-0005-0000-0000-000069000000}"/>
    <cellStyle name="표준 2" xfId="67" xr:uid="{00000000-0005-0000-0000-00006A000000}"/>
    <cellStyle name="표준 2 12" xfId="1" xr:uid="{00000000-0005-0000-0000-00006B000000}"/>
    <cellStyle name="표준 2 12 2" xfId="69" xr:uid="{00000000-0005-0000-0000-00006C000000}"/>
    <cellStyle name="표준 2 12 3" xfId="68" xr:uid="{00000000-0005-0000-0000-00006D000000}"/>
    <cellStyle name="표준 2 2" xfId="70" xr:uid="{00000000-0005-0000-0000-00006E000000}"/>
    <cellStyle name="표준 20" xfId="71" xr:uid="{00000000-0005-0000-0000-00006F000000}"/>
    <cellStyle name="표준 21" xfId="72" xr:uid="{00000000-0005-0000-0000-000070000000}"/>
    <cellStyle name="표준 22" xfId="73" xr:uid="{00000000-0005-0000-0000-000071000000}"/>
    <cellStyle name="표준 23" xfId="74" xr:uid="{00000000-0005-0000-0000-000072000000}"/>
    <cellStyle name="표준 24" xfId="75" xr:uid="{00000000-0005-0000-0000-000073000000}"/>
    <cellStyle name="표준 25" xfId="5" xr:uid="{00000000-0005-0000-0000-000074000000}"/>
    <cellStyle name="표준 3" xfId="76" xr:uid="{00000000-0005-0000-0000-000075000000}"/>
    <cellStyle name="표준 3 2" xfId="77" xr:uid="{00000000-0005-0000-0000-000076000000}"/>
    <cellStyle name="표준 3 2 2" xfId="78" xr:uid="{00000000-0005-0000-0000-000077000000}"/>
    <cellStyle name="표준 3 3" xfId="79" xr:uid="{00000000-0005-0000-0000-000078000000}"/>
    <cellStyle name="표준 3 3 2" xfId="80" xr:uid="{00000000-0005-0000-0000-000079000000}"/>
    <cellStyle name="표준 3 4" xfId="81" xr:uid="{00000000-0005-0000-0000-00007A000000}"/>
    <cellStyle name="표준 4" xfId="82" xr:uid="{00000000-0005-0000-0000-00007B000000}"/>
    <cellStyle name="표준 4 2" xfId="83" xr:uid="{00000000-0005-0000-0000-00007C000000}"/>
    <cellStyle name="표준 5" xfId="84" xr:uid="{00000000-0005-0000-0000-00007D000000}"/>
    <cellStyle name="표준 5 2" xfId="85" xr:uid="{00000000-0005-0000-0000-00007E000000}"/>
    <cellStyle name="표준 6" xfId="86" xr:uid="{00000000-0005-0000-0000-00007F000000}"/>
    <cellStyle name="표준 6 2" xfId="87" xr:uid="{00000000-0005-0000-0000-000080000000}"/>
    <cellStyle name="표준 7" xfId="88" xr:uid="{00000000-0005-0000-0000-000081000000}"/>
    <cellStyle name="표준 7 2" xfId="89" xr:uid="{00000000-0005-0000-0000-000082000000}"/>
    <cellStyle name="표준 8" xfId="90" xr:uid="{00000000-0005-0000-0000-000083000000}"/>
    <cellStyle name="표준 9" xfId="91" xr:uid="{00000000-0005-0000-0000-000084000000}"/>
    <cellStyle name="표준 9 2" xfId="92" xr:uid="{00000000-0005-0000-0000-000085000000}"/>
  </cellStyles>
  <dxfs count="234"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99"/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jp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179295</xdr:colOff>
      <xdr:row>13</xdr:row>
      <xdr:rowOff>33618</xdr:rowOff>
    </xdr:from>
    <xdr:to>
      <xdr:col>2</xdr:col>
      <xdr:colOff>1114209</xdr:colOff>
      <xdr:row>13</xdr:row>
      <xdr:rowOff>1042147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5619" y="10992971"/>
          <a:ext cx="934914" cy="1008529"/>
        </a:xfrm>
        <a:prstGeom prst="rect">
          <a:avLst/>
        </a:prstGeom>
      </xdr:spPr>
    </xdr:pic>
    <xdr:clientData/>
  </xdr:twoCellAnchor>
  <xdr:twoCellAnchor editAs="oneCell">
    <xdr:from>
      <xdr:col>2</xdr:col>
      <xdr:colOff>324970</xdr:colOff>
      <xdr:row>12</xdr:row>
      <xdr:rowOff>78441</xdr:rowOff>
    </xdr:from>
    <xdr:to>
      <xdr:col>2</xdr:col>
      <xdr:colOff>1000531</xdr:colOff>
      <xdr:row>12</xdr:row>
      <xdr:rowOff>986117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41294" y="9928412"/>
          <a:ext cx="675561" cy="907676"/>
        </a:xfrm>
        <a:prstGeom prst="rect">
          <a:avLst/>
        </a:prstGeom>
      </xdr:spPr>
    </xdr:pic>
    <xdr:clientData/>
  </xdr:twoCellAnchor>
  <xdr:twoCellAnchor editAs="oneCell">
    <xdr:from>
      <xdr:col>2</xdr:col>
      <xdr:colOff>302560</xdr:colOff>
      <xdr:row>9</xdr:row>
      <xdr:rowOff>56029</xdr:rowOff>
    </xdr:from>
    <xdr:to>
      <xdr:col>2</xdr:col>
      <xdr:colOff>1074868</xdr:colOff>
      <xdr:row>9</xdr:row>
      <xdr:rowOff>1019735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18884" y="6577853"/>
          <a:ext cx="772308" cy="963706"/>
        </a:xfrm>
        <a:prstGeom prst="rect">
          <a:avLst/>
        </a:prstGeom>
      </xdr:spPr>
    </xdr:pic>
    <xdr:clientData/>
  </xdr:twoCellAnchor>
  <xdr:twoCellAnchor editAs="oneCell">
    <xdr:from>
      <xdr:col>2</xdr:col>
      <xdr:colOff>392207</xdr:colOff>
      <xdr:row>8</xdr:row>
      <xdr:rowOff>112058</xdr:rowOff>
    </xdr:from>
    <xdr:to>
      <xdr:col>2</xdr:col>
      <xdr:colOff>988191</xdr:colOff>
      <xdr:row>8</xdr:row>
      <xdr:rowOff>1019735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08531" y="5524499"/>
          <a:ext cx="595984" cy="907677"/>
        </a:xfrm>
        <a:prstGeom prst="rect">
          <a:avLst/>
        </a:prstGeom>
      </xdr:spPr>
    </xdr:pic>
    <xdr:clientData/>
  </xdr:twoCellAnchor>
  <xdr:twoCellAnchor editAs="oneCell">
    <xdr:from>
      <xdr:col>2</xdr:col>
      <xdr:colOff>268941</xdr:colOff>
      <xdr:row>11</xdr:row>
      <xdr:rowOff>33619</xdr:rowOff>
    </xdr:from>
    <xdr:to>
      <xdr:col>2</xdr:col>
      <xdr:colOff>1065140</xdr:colOff>
      <xdr:row>11</xdr:row>
      <xdr:rowOff>1019737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85265" y="8774207"/>
          <a:ext cx="796199" cy="986118"/>
        </a:xfrm>
        <a:prstGeom prst="rect">
          <a:avLst/>
        </a:prstGeom>
      </xdr:spPr>
    </xdr:pic>
    <xdr:clientData/>
  </xdr:twoCellAnchor>
  <xdr:twoCellAnchor editAs="oneCell">
    <xdr:from>
      <xdr:col>2</xdr:col>
      <xdr:colOff>392207</xdr:colOff>
      <xdr:row>10</xdr:row>
      <xdr:rowOff>67236</xdr:rowOff>
    </xdr:from>
    <xdr:to>
      <xdr:col>2</xdr:col>
      <xdr:colOff>1019735</xdr:colOff>
      <xdr:row>10</xdr:row>
      <xdr:rowOff>1037715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08531" y="7698442"/>
          <a:ext cx="627528" cy="970479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476251</xdr:colOff>
      <xdr:row>24</xdr:row>
      <xdr:rowOff>136071</xdr:rowOff>
    </xdr:from>
    <xdr:to>
      <xdr:col>2</xdr:col>
      <xdr:colOff>837911</xdr:colOff>
      <xdr:row>24</xdr:row>
      <xdr:rowOff>1061356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102180" y="23730857"/>
          <a:ext cx="361660" cy="925285"/>
        </a:xfrm>
        <a:prstGeom prst="rect">
          <a:avLst/>
        </a:prstGeom>
      </xdr:spPr>
    </xdr:pic>
    <xdr:clientData/>
  </xdr:twoCellAnchor>
  <xdr:twoCellAnchor editAs="oneCell">
    <xdr:from>
      <xdr:col>2</xdr:col>
      <xdr:colOff>462642</xdr:colOff>
      <xdr:row>23</xdr:row>
      <xdr:rowOff>108857</xdr:rowOff>
    </xdr:from>
    <xdr:to>
      <xdr:col>2</xdr:col>
      <xdr:colOff>835295</xdr:colOff>
      <xdr:row>23</xdr:row>
      <xdr:rowOff>1047750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088571" y="21472071"/>
          <a:ext cx="372653" cy="938893"/>
        </a:xfrm>
        <a:prstGeom prst="rect">
          <a:avLst/>
        </a:prstGeom>
      </xdr:spPr>
    </xdr:pic>
    <xdr:clientData/>
  </xdr:twoCellAnchor>
  <xdr:twoCellAnchor editAs="oneCell">
    <xdr:from>
      <xdr:col>2</xdr:col>
      <xdr:colOff>459442</xdr:colOff>
      <xdr:row>15</xdr:row>
      <xdr:rowOff>33617</xdr:rowOff>
    </xdr:from>
    <xdr:to>
      <xdr:col>2</xdr:col>
      <xdr:colOff>969812</xdr:colOff>
      <xdr:row>15</xdr:row>
      <xdr:rowOff>1042706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5766" y="12404911"/>
          <a:ext cx="510370" cy="1009089"/>
        </a:xfrm>
        <a:prstGeom prst="rect">
          <a:avLst/>
        </a:prstGeom>
      </xdr:spPr>
    </xdr:pic>
    <xdr:clientData/>
  </xdr:twoCellAnchor>
  <xdr:twoCellAnchor editAs="oneCell">
    <xdr:from>
      <xdr:col>2</xdr:col>
      <xdr:colOff>452905</xdr:colOff>
      <xdr:row>16</xdr:row>
      <xdr:rowOff>81241</xdr:rowOff>
    </xdr:from>
    <xdr:to>
      <xdr:col>2</xdr:col>
      <xdr:colOff>936908</xdr:colOff>
      <xdr:row>16</xdr:row>
      <xdr:rowOff>1028700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2030" y="13616266"/>
          <a:ext cx="484003" cy="947459"/>
        </a:xfrm>
        <a:prstGeom prst="rect">
          <a:avLst/>
        </a:prstGeom>
      </xdr:spPr>
    </xdr:pic>
    <xdr:clientData/>
  </xdr:twoCellAnchor>
  <xdr:twoCellAnchor editAs="oneCell">
    <xdr:from>
      <xdr:col>2</xdr:col>
      <xdr:colOff>403412</xdr:colOff>
      <xdr:row>14</xdr:row>
      <xdr:rowOff>79375</xdr:rowOff>
    </xdr:from>
    <xdr:to>
      <xdr:col>2</xdr:col>
      <xdr:colOff>1019735</xdr:colOff>
      <xdr:row>14</xdr:row>
      <xdr:rowOff>1031151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2537" y="11350625"/>
          <a:ext cx="616323" cy="951776"/>
        </a:xfrm>
        <a:prstGeom prst="rect">
          <a:avLst/>
        </a:prstGeom>
      </xdr:spPr>
    </xdr:pic>
    <xdr:clientData/>
  </xdr:twoCellAnchor>
  <xdr:twoCellAnchor editAs="oneCell">
    <xdr:from>
      <xdr:col>2</xdr:col>
      <xdr:colOff>470649</xdr:colOff>
      <xdr:row>17</xdr:row>
      <xdr:rowOff>57150</xdr:rowOff>
    </xdr:from>
    <xdr:to>
      <xdr:col>2</xdr:col>
      <xdr:colOff>882721</xdr:colOff>
      <xdr:row>17</xdr:row>
      <xdr:rowOff>1102844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9774" y="14706600"/>
          <a:ext cx="412072" cy="1045694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476252</xdr:colOff>
      <xdr:row>18</xdr:row>
      <xdr:rowOff>51208</xdr:rowOff>
    </xdr:from>
    <xdr:to>
      <xdr:col>2</xdr:col>
      <xdr:colOff>873126</xdr:colOff>
      <xdr:row>18</xdr:row>
      <xdr:rowOff>1078139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377" y="16878708"/>
          <a:ext cx="396874" cy="1026931"/>
        </a:xfrm>
        <a:prstGeom prst="rect">
          <a:avLst/>
        </a:prstGeom>
      </xdr:spPr>
    </xdr:pic>
    <xdr:clientData/>
  </xdr:twoCellAnchor>
  <xdr:twoCellAnchor editAs="oneCell">
    <xdr:from>
      <xdr:col>2</xdr:col>
      <xdr:colOff>460375</xdr:colOff>
      <xdr:row>19</xdr:row>
      <xdr:rowOff>95250</xdr:rowOff>
    </xdr:from>
    <xdr:to>
      <xdr:col>2</xdr:col>
      <xdr:colOff>961934</xdr:colOff>
      <xdr:row>19</xdr:row>
      <xdr:rowOff>1072133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500" y="18034000"/>
          <a:ext cx="501559" cy="976883"/>
        </a:xfrm>
        <a:prstGeom prst="rect">
          <a:avLst/>
        </a:prstGeom>
      </xdr:spPr>
    </xdr:pic>
    <xdr:clientData/>
  </xdr:twoCellAnchor>
  <xdr:twoCellAnchor editAs="oneCell">
    <xdr:from>
      <xdr:col>2</xdr:col>
      <xdr:colOff>492126</xdr:colOff>
      <xdr:row>20</xdr:row>
      <xdr:rowOff>20136</xdr:rowOff>
    </xdr:from>
    <xdr:to>
      <xdr:col>2</xdr:col>
      <xdr:colOff>920750</xdr:colOff>
      <xdr:row>20</xdr:row>
      <xdr:rowOff>1094802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1251" y="19070136"/>
          <a:ext cx="428624" cy="1074666"/>
        </a:xfrm>
        <a:prstGeom prst="rect">
          <a:avLst/>
        </a:prstGeom>
      </xdr:spPr>
    </xdr:pic>
    <xdr:clientData/>
  </xdr:twoCellAnchor>
  <xdr:twoCellAnchor editAs="oneCell">
    <xdr:from>
      <xdr:col>2</xdr:col>
      <xdr:colOff>460376</xdr:colOff>
      <xdr:row>21</xdr:row>
      <xdr:rowOff>31750</xdr:rowOff>
    </xdr:from>
    <xdr:to>
      <xdr:col>2</xdr:col>
      <xdr:colOff>938454</xdr:colOff>
      <xdr:row>22</xdr:row>
      <xdr:rowOff>1087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501" y="20193000"/>
          <a:ext cx="478078" cy="1080587"/>
        </a:xfrm>
        <a:prstGeom prst="rect">
          <a:avLst/>
        </a:prstGeom>
      </xdr:spPr>
    </xdr:pic>
    <xdr:clientData/>
  </xdr:twoCellAnchor>
  <xdr:twoCellAnchor editAs="oneCell">
    <xdr:from>
      <xdr:col>2</xdr:col>
      <xdr:colOff>428625</xdr:colOff>
      <xdr:row>22</xdr:row>
      <xdr:rowOff>133510</xdr:rowOff>
    </xdr:from>
    <xdr:to>
      <xdr:col>2</xdr:col>
      <xdr:colOff>857250</xdr:colOff>
      <xdr:row>22</xdr:row>
      <xdr:rowOff>1067053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" y="22517260"/>
          <a:ext cx="428625" cy="933543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247651</xdr:colOff>
      <xdr:row>6</xdr:row>
      <xdr:rowOff>9525</xdr:rowOff>
    </xdr:from>
    <xdr:to>
      <xdr:col>2</xdr:col>
      <xdr:colOff>1047750</xdr:colOff>
      <xdr:row>6</xdr:row>
      <xdr:rowOff>1051398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B0860877-9C2B-46E6-9FBD-8845163287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6" y="2400300"/>
          <a:ext cx="800099" cy="1041873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257176</xdr:colOff>
      <xdr:row>7</xdr:row>
      <xdr:rowOff>66676</xdr:rowOff>
    </xdr:from>
    <xdr:to>
      <xdr:col>2</xdr:col>
      <xdr:colOff>1114426</xdr:colOff>
      <xdr:row>7</xdr:row>
      <xdr:rowOff>1090824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C732CD10-334C-4CBF-BE9D-826A3E6F6D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1" y="3571876"/>
          <a:ext cx="857250" cy="10241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44</xdr:col>
      <xdr:colOff>57982</xdr:colOff>
      <xdr:row>147</xdr:row>
      <xdr:rowOff>16566</xdr:rowOff>
    </xdr:from>
    <xdr:to>
      <xdr:col>46</xdr:col>
      <xdr:colOff>256762</xdr:colOff>
      <xdr:row>155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1417" y="8936936"/>
          <a:ext cx="2087215" cy="12506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25"/>
  <sheetViews>
    <sheetView showGridLines="0" tabSelected="1" view="pageBreakPreview" zoomScaleNormal="40" zoomScaleSheetLayoutView="100" workbookViewId="0">
      <pane ySplit="6" topLeftCell="A7" activePane="bottomLeft" state="frozen"/>
      <selection pane="bottomLeft" activeCell="L6" sqref="L6"/>
    </sheetView>
  </sheetViews>
  <sheetFormatPr defaultColWidth="9" defaultRowHeight="15" customHeight="1" x14ac:dyDescent="0.3"/>
  <cols>
    <col min="1" max="1" width="3.375" style="40" customWidth="1"/>
    <col min="2" max="2" width="4.75" style="40" customWidth="1"/>
    <col min="3" max="3" width="18.25" style="40" customWidth="1"/>
    <col min="4" max="4" width="11.375" style="60" bestFit="1" customWidth="1"/>
    <col min="5" max="5" width="44" style="40" customWidth="1"/>
    <col min="6" max="6" width="12.5" style="17" customWidth="1"/>
    <col min="7" max="7" width="5.75" style="17" customWidth="1"/>
    <col min="8" max="8" width="9.5" style="265" customWidth="1"/>
    <col min="9" max="9" width="9.5" style="267" customWidth="1"/>
    <col min="10" max="16384" width="9" style="40"/>
  </cols>
  <sheetData>
    <row r="1" spans="2:9" s="37" customFormat="1" ht="50.25" x14ac:dyDescent="0.3">
      <c r="B1" s="288" t="s">
        <v>631</v>
      </c>
      <c r="C1" s="288"/>
      <c r="D1" s="288"/>
      <c r="E1" s="288"/>
      <c r="F1" s="288"/>
      <c r="G1" s="288"/>
      <c r="H1" s="288"/>
      <c r="I1" s="288"/>
    </row>
    <row r="2" spans="2:9" ht="15" customHeight="1" x14ac:dyDescent="0.3">
      <c r="B2" s="289"/>
      <c r="C2" s="289"/>
      <c r="D2" s="289"/>
      <c r="E2" s="289"/>
      <c r="F2" s="289"/>
      <c r="G2" s="289"/>
      <c r="H2" s="289"/>
      <c r="I2" s="289"/>
    </row>
    <row r="3" spans="2:9" ht="15" customHeight="1" x14ac:dyDescent="0.3">
      <c r="B3" s="290"/>
      <c r="C3" s="290"/>
      <c r="D3" s="290"/>
      <c r="E3" s="290"/>
      <c r="F3" s="290"/>
      <c r="G3" s="290"/>
      <c r="H3" s="290"/>
      <c r="I3" s="290"/>
    </row>
    <row r="4" spans="2:9" s="37" customFormat="1" ht="30.75" customHeight="1" x14ac:dyDescent="0.3">
      <c r="B4" s="250"/>
      <c r="C4" s="250"/>
      <c r="D4" s="3"/>
      <c r="E4" s="211"/>
      <c r="F4" s="211"/>
      <c r="G4" s="14"/>
      <c r="I4" s="268"/>
    </row>
    <row r="5" spans="2:9" s="37" customFormat="1" ht="20.25" hidden="1" x14ac:dyDescent="0.3">
      <c r="B5" s="270"/>
      <c r="C5" s="270"/>
      <c r="D5" s="3"/>
      <c r="E5" s="211"/>
      <c r="F5" s="211"/>
      <c r="G5" s="14"/>
      <c r="I5" s="268"/>
    </row>
    <row r="6" spans="2:9" ht="54" customHeight="1" x14ac:dyDescent="0.3">
      <c r="B6" s="266" t="s">
        <v>615</v>
      </c>
      <c r="C6" s="266" t="s">
        <v>627</v>
      </c>
      <c r="D6" s="279" t="s">
        <v>1</v>
      </c>
      <c r="E6" s="266" t="s">
        <v>591</v>
      </c>
      <c r="F6" s="280" t="s">
        <v>95</v>
      </c>
      <c r="G6" s="281" t="s">
        <v>583</v>
      </c>
      <c r="H6" s="282" t="s">
        <v>643</v>
      </c>
      <c r="I6" s="269" t="s">
        <v>625</v>
      </c>
    </row>
    <row r="7" spans="2:9" s="274" customFormat="1" ht="87.75" customHeight="1" x14ac:dyDescent="0.3">
      <c r="B7" s="272">
        <v>1</v>
      </c>
      <c r="C7" s="272"/>
      <c r="D7" s="277" t="s">
        <v>618</v>
      </c>
      <c r="E7" s="273" t="s">
        <v>617</v>
      </c>
      <c r="F7" s="271">
        <v>1000</v>
      </c>
      <c r="G7" s="271" t="s">
        <v>180</v>
      </c>
      <c r="H7" s="275">
        <v>60000</v>
      </c>
      <c r="I7" s="276">
        <v>20</v>
      </c>
    </row>
    <row r="8" spans="2:9" s="274" customFormat="1" ht="87.75" customHeight="1" x14ac:dyDescent="0.3">
      <c r="B8" s="272">
        <v>2</v>
      </c>
      <c r="C8" s="272"/>
      <c r="D8" s="277" t="s">
        <v>618</v>
      </c>
      <c r="E8" s="273" t="s">
        <v>616</v>
      </c>
      <c r="F8" s="271">
        <v>1000</v>
      </c>
      <c r="G8" s="271" t="s">
        <v>180</v>
      </c>
      <c r="H8" s="275">
        <v>60000</v>
      </c>
      <c r="I8" s="276">
        <v>20</v>
      </c>
    </row>
    <row r="9" spans="2:9" s="274" customFormat="1" ht="87.75" customHeight="1" x14ac:dyDescent="0.3">
      <c r="B9" s="272">
        <v>3</v>
      </c>
      <c r="C9" s="272"/>
      <c r="D9" s="277" t="s">
        <v>623</v>
      </c>
      <c r="E9" s="273" t="s">
        <v>621</v>
      </c>
      <c r="F9" s="271">
        <v>50</v>
      </c>
      <c r="G9" s="271" t="s">
        <v>198</v>
      </c>
      <c r="H9" s="275">
        <v>52000</v>
      </c>
      <c r="I9" s="276">
        <v>40</v>
      </c>
    </row>
    <row r="10" spans="2:9" s="274" customFormat="1" ht="87.75" customHeight="1" x14ac:dyDescent="0.3">
      <c r="B10" s="272">
        <v>4</v>
      </c>
      <c r="C10" s="272"/>
      <c r="D10" s="277" t="s">
        <v>623</v>
      </c>
      <c r="E10" s="273" t="s">
        <v>621</v>
      </c>
      <c r="F10" s="271">
        <v>150</v>
      </c>
      <c r="G10" s="271" t="s">
        <v>198</v>
      </c>
      <c r="H10" s="275">
        <v>132000</v>
      </c>
      <c r="I10" s="276">
        <v>20</v>
      </c>
    </row>
    <row r="11" spans="2:9" s="274" customFormat="1" ht="87.75" customHeight="1" x14ac:dyDescent="0.3">
      <c r="B11" s="272">
        <v>5</v>
      </c>
      <c r="C11" s="272"/>
      <c r="D11" s="277" t="s">
        <v>623</v>
      </c>
      <c r="E11" s="273" t="s">
        <v>622</v>
      </c>
      <c r="F11" s="271">
        <v>50</v>
      </c>
      <c r="G11" s="271" t="s">
        <v>198</v>
      </c>
      <c r="H11" s="275">
        <v>52000</v>
      </c>
      <c r="I11" s="276">
        <v>40</v>
      </c>
    </row>
    <row r="12" spans="2:9" s="274" customFormat="1" ht="87.75" customHeight="1" x14ac:dyDescent="0.3">
      <c r="B12" s="272">
        <v>6</v>
      </c>
      <c r="C12" s="272"/>
      <c r="D12" s="277" t="s">
        <v>623</v>
      </c>
      <c r="E12" s="273" t="s">
        <v>622</v>
      </c>
      <c r="F12" s="271">
        <v>150</v>
      </c>
      <c r="G12" s="271" t="s">
        <v>198</v>
      </c>
      <c r="H12" s="275">
        <v>132000</v>
      </c>
      <c r="I12" s="276">
        <v>20</v>
      </c>
    </row>
    <row r="13" spans="2:9" s="274" customFormat="1" ht="87.75" customHeight="1" x14ac:dyDescent="0.3">
      <c r="B13" s="272">
        <v>7</v>
      </c>
      <c r="C13" s="272"/>
      <c r="D13" s="277" t="s">
        <v>623</v>
      </c>
      <c r="E13" s="278" t="s">
        <v>626</v>
      </c>
      <c r="F13" s="271">
        <v>50</v>
      </c>
      <c r="G13" s="271" t="s">
        <v>198</v>
      </c>
      <c r="H13" s="275">
        <v>52000</v>
      </c>
      <c r="I13" s="276">
        <v>40</v>
      </c>
    </row>
    <row r="14" spans="2:9" s="274" customFormat="1" ht="87.75" customHeight="1" x14ac:dyDescent="0.3">
      <c r="B14" s="272">
        <v>8</v>
      </c>
      <c r="C14" s="272"/>
      <c r="D14" s="277" t="s">
        <v>623</v>
      </c>
      <c r="E14" s="278" t="s">
        <v>626</v>
      </c>
      <c r="F14" s="271">
        <v>150</v>
      </c>
      <c r="G14" s="271" t="s">
        <v>198</v>
      </c>
      <c r="H14" s="275">
        <v>132000</v>
      </c>
      <c r="I14" s="276">
        <v>20</v>
      </c>
    </row>
    <row r="15" spans="2:9" s="274" customFormat="1" ht="87.75" customHeight="1" x14ac:dyDescent="0.3">
      <c r="B15" s="272">
        <v>9</v>
      </c>
      <c r="C15" s="272"/>
      <c r="D15" s="277" t="s">
        <v>624</v>
      </c>
      <c r="E15" s="286" t="s">
        <v>640</v>
      </c>
      <c r="F15" s="271">
        <v>50</v>
      </c>
      <c r="G15" s="271" t="s">
        <v>639</v>
      </c>
      <c r="H15" s="275">
        <v>0</v>
      </c>
      <c r="I15" s="276">
        <v>40</v>
      </c>
    </row>
    <row r="16" spans="2:9" s="274" customFormat="1" ht="87.75" customHeight="1" x14ac:dyDescent="0.3">
      <c r="B16" s="272">
        <v>10</v>
      </c>
      <c r="C16" s="272"/>
      <c r="D16" s="277" t="s">
        <v>632</v>
      </c>
      <c r="E16" s="286" t="s">
        <v>634</v>
      </c>
      <c r="F16" s="271">
        <v>50</v>
      </c>
      <c r="G16" s="271" t="s">
        <v>633</v>
      </c>
      <c r="H16" s="275">
        <v>48000</v>
      </c>
      <c r="I16" s="276">
        <v>48</v>
      </c>
    </row>
    <row r="17" spans="2:9" s="274" customFormat="1" ht="87.75" customHeight="1" x14ac:dyDescent="0.3">
      <c r="B17" s="272">
        <v>11</v>
      </c>
      <c r="C17" s="272"/>
      <c r="D17" s="283" t="s">
        <v>624</v>
      </c>
      <c r="E17" s="273" t="s">
        <v>629</v>
      </c>
      <c r="F17" s="271">
        <v>500</v>
      </c>
      <c r="G17" s="271" t="s">
        <v>180</v>
      </c>
      <c r="H17" s="285">
        <v>116000</v>
      </c>
      <c r="I17" s="276">
        <v>24</v>
      </c>
    </row>
    <row r="18" spans="2:9" s="274" customFormat="1" ht="87.75" customHeight="1" x14ac:dyDescent="0.3">
      <c r="B18" s="272">
        <v>12</v>
      </c>
      <c r="C18" s="272"/>
      <c r="D18" s="277" t="s">
        <v>620</v>
      </c>
      <c r="E18" s="286" t="s">
        <v>642</v>
      </c>
      <c r="F18" s="271">
        <v>1000</v>
      </c>
      <c r="G18" s="271" t="s">
        <v>180</v>
      </c>
      <c r="H18" s="275">
        <v>92000</v>
      </c>
      <c r="I18" s="276">
        <v>15</v>
      </c>
    </row>
    <row r="19" spans="2:9" s="274" customFormat="1" ht="87.75" customHeight="1" x14ac:dyDescent="0.3">
      <c r="B19" s="272">
        <v>13</v>
      </c>
      <c r="C19" s="272"/>
      <c r="D19" s="277" t="s">
        <v>620</v>
      </c>
      <c r="E19" s="286" t="s">
        <v>641</v>
      </c>
      <c r="F19" s="271">
        <v>500</v>
      </c>
      <c r="G19" s="271" t="s">
        <v>180</v>
      </c>
      <c r="H19" s="275">
        <v>144000</v>
      </c>
      <c r="I19" s="276">
        <v>20</v>
      </c>
    </row>
    <row r="20" spans="2:9" s="274" customFormat="1" ht="87.75" customHeight="1" x14ac:dyDescent="0.3">
      <c r="B20" s="272">
        <v>14</v>
      </c>
      <c r="C20" s="272"/>
      <c r="D20" s="277" t="s">
        <v>620</v>
      </c>
      <c r="E20" s="286" t="s">
        <v>644</v>
      </c>
      <c r="F20" s="271">
        <v>250</v>
      </c>
      <c r="G20" s="271" t="s">
        <v>180</v>
      </c>
      <c r="H20" s="275">
        <v>110000</v>
      </c>
      <c r="I20" s="276">
        <v>20</v>
      </c>
    </row>
    <row r="21" spans="2:9" s="274" customFormat="1" ht="87.75" customHeight="1" x14ac:dyDescent="0.3">
      <c r="B21" s="272">
        <v>15</v>
      </c>
      <c r="C21" s="272"/>
      <c r="D21" s="277" t="s">
        <v>619</v>
      </c>
      <c r="E21" s="286" t="s">
        <v>636</v>
      </c>
      <c r="F21" s="271">
        <v>1000</v>
      </c>
      <c r="G21" s="271" t="s">
        <v>639</v>
      </c>
      <c r="H21" s="275">
        <v>0</v>
      </c>
      <c r="I21" s="276">
        <v>15</v>
      </c>
    </row>
    <row r="22" spans="2:9" s="274" customFormat="1" ht="87.75" customHeight="1" x14ac:dyDescent="0.3">
      <c r="B22" s="272">
        <v>16</v>
      </c>
      <c r="C22" s="272"/>
      <c r="D22" s="277" t="s">
        <v>619</v>
      </c>
      <c r="E22" s="286" t="s">
        <v>637</v>
      </c>
      <c r="F22" s="271">
        <v>1000</v>
      </c>
      <c r="G22" s="271" t="s">
        <v>639</v>
      </c>
      <c r="H22" s="275">
        <v>0</v>
      </c>
      <c r="I22" s="276">
        <v>15</v>
      </c>
    </row>
    <row r="23" spans="2:9" s="274" customFormat="1" ht="87.75" customHeight="1" x14ac:dyDescent="0.3">
      <c r="B23" s="272">
        <v>17</v>
      </c>
      <c r="C23" s="272"/>
      <c r="D23" s="287" t="s">
        <v>635</v>
      </c>
      <c r="E23" s="286" t="s">
        <v>638</v>
      </c>
      <c r="F23" s="271">
        <v>500</v>
      </c>
      <c r="G23" s="271" t="s">
        <v>639</v>
      </c>
      <c r="H23" s="275">
        <v>0</v>
      </c>
      <c r="I23" s="276">
        <v>20</v>
      </c>
    </row>
    <row r="24" spans="2:9" s="274" customFormat="1" ht="87.75" customHeight="1" x14ac:dyDescent="0.3">
      <c r="B24" s="272">
        <v>18</v>
      </c>
      <c r="C24" s="272"/>
      <c r="D24" s="283" t="s">
        <v>628</v>
      </c>
      <c r="E24" s="273" t="s">
        <v>629</v>
      </c>
      <c r="F24" s="271">
        <v>12</v>
      </c>
      <c r="G24" s="271" t="s">
        <v>180</v>
      </c>
      <c r="H24" s="285">
        <v>12000</v>
      </c>
      <c r="I24" s="276">
        <v>40</v>
      </c>
    </row>
    <row r="25" spans="2:9" s="274" customFormat="1" ht="87.75" customHeight="1" x14ac:dyDescent="0.3">
      <c r="B25" s="272">
        <v>19</v>
      </c>
      <c r="C25" s="272"/>
      <c r="D25" s="284" t="s">
        <v>628</v>
      </c>
      <c r="E25" s="273" t="s">
        <v>630</v>
      </c>
      <c r="F25" s="271">
        <v>12</v>
      </c>
      <c r="G25" s="271" t="s">
        <v>180</v>
      </c>
      <c r="H25" s="285">
        <v>18000</v>
      </c>
      <c r="I25" s="276">
        <v>40</v>
      </c>
    </row>
  </sheetData>
  <mergeCells count="3">
    <mergeCell ref="B1:I1"/>
    <mergeCell ref="B2:I2"/>
    <mergeCell ref="B3:I3"/>
  </mergeCells>
  <phoneticPr fontId="4" type="noConversion"/>
  <printOptions horizontalCentered="1"/>
  <pageMargins left="0" right="0" top="0.59055118110236227" bottom="0.39370078740157483" header="0" footer="0"/>
  <pageSetup paperSize="9" scale="3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>
    <tabColor rgb="FFFF0000"/>
    <pageSetUpPr fitToPage="1"/>
  </sheetPr>
  <dimension ref="A1:AS260"/>
  <sheetViews>
    <sheetView zoomScale="115" zoomScaleNormal="115" zoomScaleSheetLayoutView="130" workbookViewId="0">
      <pane xSplit="5" ySplit="4" topLeftCell="F12" activePane="bottomRight" state="frozen"/>
      <selection activeCell="G63" sqref="G63"/>
      <selection pane="topRight" activeCell="G63" sqref="G63"/>
      <selection pane="bottomLeft" activeCell="G63" sqref="G63"/>
      <selection pane="bottomRight" activeCell="G63" sqref="G63"/>
    </sheetView>
  </sheetViews>
  <sheetFormatPr defaultColWidth="9" defaultRowHeight="11.25" x14ac:dyDescent="0.3"/>
  <cols>
    <col min="1" max="2" width="4" style="40" hidden="1" customWidth="1"/>
    <col min="3" max="3" width="6.875" style="60" customWidth="1"/>
    <col min="4" max="4" width="37.625" style="40" customWidth="1"/>
    <col min="5" max="5" width="11.5" style="40" hidden="1" customWidth="1"/>
    <col min="6" max="7" width="4.75" style="17" customWidth="1"/>
    <col min="8" max="8" width="6.625" style="22" customWidth="1"/>
    <col min="9" max="9" width="6.5" style="22" customWidth="1"/>
    <col min="10" max="10" width="6" style="22" customWidth="1"/>
    <col min="11" max="11" width="6.75" style="66" customWidth="1"/>
    <col min="12" max="12" width="6.75" style="38" customWidth="1"/>
    <col min="13" max="13" width="4.75" style="158" customWidth="1"/>
    <col min="14" max="14" width="6.75" style="38" hidden="1" customWidth="1"/>
    <col min="15" max="15" width="4.75" style="39" hidden="1" customWidth="1"/>
    <col min="16" max="16" width="6.75" style="33" customWidth="1"/>
    <col min="17" max="17" width="5.375" style="44" customWidth="1"/>
    <col min="18" max="18" width="6.125" style="45" customWidth="1"/>
    <col min="19" max="19" width="6.125" style="35" hidden="1" customWidth="1"/>
    <col min="20" max="24" width="6.125" style="44" hidden="1" customWidth="1"/>
    <col min="25" max="25" width="48.75" style="36" hidden="1" customWidth="1"/>
    <col min="26" max="28" width="9" style="40" hidden="1" customWidth="1"/>
    <col min="29" max="29" width="6.625" style="40" bestFit="1" customWidth="1"/>
    <col min="30" max="31" width="6" style="40" bestFit="1" customWidth="1"/>
    <col min="32" max="32" width="6.25" style="40" bestFit="1" customWidth="1"/>
    <col min="33" max="33" width="5" style="40" bestFit="1" customWidth="1"/>
    <col min="34" max="34" width="4.25" style="40" bestFit="1" customWidth="1"/>
    <col min="35" max="35" width="5.75" style="40" hidden="1" customWidth="1"/>
    <col min="36" max="36" width="5" style="40" bestFit="1" customWidth="1"/>
    <col min="37" max="38" width="6" style="40" bestFit="1" customWidth="1"/>
    <col min="39" max="39" width="5.25" style="40" bestFit="1" customWidth="1"/>
    <col min="40" max="40" width="5.25" style="40" customWidth="1"/>
    <col min="41" max="42" width="5" style="40" bestFit="1" customWidth="1"/>
    <col min="43" max="43" width="4.25" style="40" bestFit="1" customWidth="1"/>
    <col min="44" max="44" width="6.75" style="40" bestFit="1" customWidth="1"/>
    <col min="45" max="45" width="7" style="40" bestFit="1" customWidth="1"/>
    <col min="46" max="16384" width="9" style="40"/>
  </cols>
  <sheetData>
    <row r="1" spans="1:45" s="37" customFormat="1" ht="15" customHeight="1" x14ac:dyDescent="0.3">
      <c r="A1" s="2" t="s">
        <v>331</v>
      </c>
      <c r="B1" s="2"/>
      <c r="C1" s="2" t="s">
        <v>331</v>
      </c>
      <c r="D1" s="72"/>
      <c r="E1" s="4"/>
      <c r="F1" s="72" t="s">
        <v>231</v>
      </c>
      <c r="G1" s="14"/>
      <c r="H1" s="24"/>
      <c r="I1" s="24"/>
      <c r="J1" s="24"/>
      <c r="K1" s="66"/>
      <c r="L1" s="31"/>
      <c r="M1" s="155"/>
      <c r="N1" s="31"/>
      <c r="O1" s="32"/>
      <c r="P1" s="33"/>
      <c r="Q1" s="35"/>
      <c r="R1" s="29"/>
      <c r="S1" s="34"/>
      <c r="T1" s="35"/>
      <c r="U1" s="35"/>
      <c r="V1" s="35"/>
      <c r="W1" s="35"/>
      <c r="X1" s="35"/>
      <c r="Y1" s="36"/>
    </row>
    <row r="2" spans="1:45" s="59" customFormat="1" x14ac:dyDescent="0.3">
      <c r="A2" s="61"/>
      <c r="B2" s="61"/>
      <c r="C2" s="3"/>
      <c r="D2" s="59" t="s">
        <v>328</v>
      </c>
      <c r="E2" s="4"/>
      <c r="F2" s="13"/>
      <c r="G2" s="14"/>
      <c r="H2" s="3"/>
      <c r="I2" s="3"/>
      <c r="J2" s="3"/>
      <c r="K2" s="64"/>
      <c r="L2" s="62" t="s">
        <v>196</v>
      </c>
      <c r="M2" s="156">
        <v>0.09</v>
      </c>
      <c r="N2" s="62" t="s">
        <v>197</v>
      </c>
      <c r="O2" s="63"/>
      <c r="P2" s="64"/>
      <c r="Q2" s="15">
        <v>150</v>
      </c>
      <c r="R2" s="65"/>
      <c r="S2" s="70">
        <v>900</v>
      </c>
      <c r="T2" s="71"/>
      <c r="U2" s="70">
        <v>50</v>
      </c>
      <c r="V2" s="70">
        <v>1000</v>
      </c>
      <c r="W2" s="70">
        <v>200</v>
      </c>
      <c r="X2" s="65"/>
      <c r="Y2" s="59" t="s">
        <v>175</v>
      </c>
      <c r="AF2" s="162" t="s">
        <v>518</v>
      </c>
    </row>
    <row r="3" spans="1:45" s="59" customFormat="1" hidden="1" x14ac:dyDescent="0.3">
      <c r="A3" s="61"/>
      <c r="B3" s="61"/>
      <c r="C3" s="3"/>
      <c r="D3" s="59" t="s">
        <v>329</v>
      </c>
      <c r="E3" s="4"/>
      <c r="F3" s="13"/>
      <c r="G3" s="14"/>
      <c r="H3" s="3"/>
      <c r="I3" s="3"/>
      <c r="J3" s="3"/>
      <c r="K3" s="64"/>
      <c r="L3" s="62"/>
      <c r="M3" s="156"/>
      <c r="N3" s="62"/>
      <c r="O3" s="63"/>
      <c r="P3" s="64"/>
      <c r="Q3" s="15"/>
      <c r="R3" s="65"/>
      <c r="S3" s="70"/>
      <c r="T3" s="71"/>
      <c r="U3" s="70"/>
      <c r="V3" s="70"/>
      <c r="W3" s="70"/>
      <c r="X3" s="65"/>
    </row>
    <row r="4" spans="1:45" ht="22.5" x14ac:dyDescent="0.3">
      <c r="A4" s="179" t="s">
        <v>186</v>
      </c>
      <c r="B4" s="5" t="s">
        <v>0</v>
      </c>
      <c r="C4" s="180" t="s">
        <v>1</v>
      </c>
      <c r="D4" s="179" t="s">
        <v>521</v>
      </c>
      <c r="E4" s="6" t="s">
        <v>106</v>
      </c>
      <c r="F4" s="181" t="s">
        <v>95</v>
      </c>
      <c r="G4" s="182"/>
      <c r="H4" s="183" t="s">
        <v>98</v>
      </c>
      <c r="I4" s="184" t="s">
        <v>93</v>
      </c>
      <c r="J4" s="184" t="s">
        <v>94</v>
      </c>
      <c r="K4" s="177" t="s">
        <v>170</v>
      </c>
      <c r="L4" s="185" t="s">
        <v>171</v>
      </c>
      <c r="M4" s="186" t="s">
        <v>174</v>
      </c>
      <c r="N4" s="129" t="s">
        <v>172</v>
      </c>
      <c r="O4" s="130" t="s">
        <v>173</v>
      </c>
      <c r="P4" s="177" t="s">
        <v>194</v>
      </c>
      <c r="Q4" s="187" t="s">
        <v>195</v>
      </c>
      <c r="R4" s="178" t="s">
        <v>99</v>
      </c>
      <c r="S4" s="188" t="s">
        <v>2</v>
      </c>
      <c r="T4" s="178" t="s">
        <v>88</v>
      </c>
      <c r="U4" s="50" t="s">
        <v>92</v>
      </c>
      <c r="V4" s="189" t="s">
        <v>3</v>
      </c>
      <c r="W4" s="189" t="s">
        <v>4</v>
      </c>
      <c r="X4" s="189" t="s">
        <v>5</v>
      </c>
      <c r="Y4" s="37" t="s">
        <v>105</v>
      </c>
      <c r="AC4" s="190" t="s">
        <v>519</v>
      </c>
      <c r="AD4" s="191" t="s">
        <v>512</v>
      </c>
      <c r="AE4" s="191" t="s">
        <v>513</v>
      </c>
      <c r="AF4" s="191" t="s">
        <v>502</v>
      </c>
      <c r="AG4" s="191" t="s">
        <v>505</v>
      </c>
      <c r="AH4" s="191" t="s">
        <v>514</v>
      </c>
      <c r="AI4" s="191" t="s">
        <v>515</v>
      </c>
      <c r="AJ4" s="191" t="s">
        <v>506</v>
      </c>
      <c r="AK4" s="191" t="s">
        <v>503</v>
      </c>
      <c r="AL4" s="191" t="s">
        <v>507</v>
      </c>
      <c r="AM4" s="191" t="s">
        <v>508</v>
      </c>
      <c r="AN4" s="191" t="s">
        <v>520</v>
      </c>
      <c r="AO4" s="191" t="s">
        <v>509</v>
      </c>
      <c r="AP4" s="191" t="s">
        <v>510</v>
      </c>
      <c r="AQ4" s="191" t="s">
        <v>511</v>
      </c>
      <c r="AR4" s="191" t="s">
        <v>517</v>
      </c>
      <c r="AS4" s="163" t="s">
        <v>504</v>
      </c>
    </row>
    <row r="5" spans="1:45" hidden="1" x14ac:dyDescent="0.3">
      <c r="A5" s="304" t="s">
        <v>187</v>
      </c>
      <c r="B5" s="304" t="s">
        <v>6</v>
      </c>
      <c r="C5" s="305" t="s">
        <v>7</v>
      </c>
      <c r="D5" s="7" t="s">
        <v>338</v>
      </c>
      <c r="E5" s="76">
        <v>9810592000201</v>
      </c>
      <c r="F5" s="9">
        <v>6.5</v>
      </c>
      <c r="G5" s="8" t="s">
        <v>8</v>
      </c>
      <c r="H5" s="26" t="s">
        <v>96</v>
      </c>
      <c r="I5" s="26" t="s">
        <v>9</v>
      </c>
      <c r="J5" s="26" t="s">
        <v>76</v>
      </c>
      <c r="K5" s="67">
        <v>12000</v>
      </c>
      <c r="L5" s="131">
        <f>K5*26%</f>
        <v>3120</v>
      </c>
      <c r="M5" s="157">
        <f t="shared" ref="M5:M68" si="0">(L5-P5)/K5</f>
        <v>9.3333333333333338E-2</v>
      </c>
      <c r="N5" s="131">
        <f>K5*60%</f>
        <v>7200</v>
      </c>
      <c r="O5" s="132">
        <f t="shared" ref="O5:O68" si="1">(N5-P5)/K5</f>
        <v>0.43333333333333335</v>
      </c>
      <c r="P5" s="73">
        <v>2000</v>
      </c>
      <c r="Q5" s="56">
        <f>P5-R5</f>
        <v>195</v>
      </c>
      <c r="R5" s="48">
        <f t="shared" ref="R5:R68" si="2">S5+T5+V5+W5+X5</f>
        <v>1805</v>
      </c>
      <c r="S5" s="52">
        <v>1100</v>
      </c>
      <c r="T5" s="52">
        <v>605</v>
      </c>
      <c r="U5" s="52">
        <f t="shared" ref="U5:U68" si="3">T5/F5</f>
        <v>93.07692307692308</v>
      </c>
      <c r="V5" s="52">
        <v>0</v>
      </c>
      <c r="W5" s="52">
        <v>100</v>
      </c>
      <c r="X5" s="52"/>
      <c r="Y5" s="41" t="s">
        <v>118</v>
      </c>
      <c r="AA5" s="40" t="s">
        <v>6</v>
      </c>
      <c r="AB5" s="40">
        <v>12</v>
      </c>
    </row>
    <row r="6" spans="1:45" hidden="1" x14ac:dyDescent="0.3">
      <c r="A6" s="304"/>
      <c r="B6" s="304"/>
      <c r="C6" s="305"/>
      <c r="D6" s="7" t="s">
        <v>339</v>
      </c>
      <c r="E6" s="76">
        <v>9810592000200</v>
      </c>
      <c r="F6" s="9">
        <v>6.5</v>
      </c>
      <c r="G6" s="8" t="s">
        <v>8</v>
      </c>
      <c r="H6" s="26" t="s">
        <v>96</v>
      </c>
      <c r="I6" s="26" t="s">
        <v>9</v>
      </c>
      <c r="J6" s="26" t="s">
        <v>76</v>
      </c>
      <c r="K6" s="67">
        <v>12000</v>
      </c>
      <c r="L6" s="131">
        <f t="shared" ref="L6:L69" si="4">K6*26%</f>
        <v>3120</v>
      </c>
      <c r="M6" s="157">
        <f t="shared" si="0"/>
        <v>9.3333333333333338E-2</v>
      </c>
      <c r="N6" s="131">
        <f t="shared" ref="N6:N69" si="5">K6*60%</f>
        <v>7200</v>
      </c>
      <c r="O6" s="132">
        <f t="shared" si="1"/>
        <v>0.43333333333333335</v>
      </c>
      <c r="P6" s="73">
        <v>2000</v>
      </c>
      <c r="Q6" s="56">
        <f t="shared" ref="Q6:Q69" si="6">P6-R6</f>
        <v>195</v>
      </c>
      <c r="R6" s="48">
        <f t="shared" si="2"/>
        <v>1805</v>
      </c>
      <c r="S6" s="52">
        <v>1100</v>
      </c>
      <c r="T6" s="52">
        <v>605</v>
      </c>
      <c r="U6" s="52">
        <f t="shared" si="3"/>
        <v>93.07692307692308</v>
      </c>
      <c r="V6" s="52">
        <v>0</v>
      </c>
      <c r="W6" s="52">
        <v>100</v>
      </c>
      <c r="X6" s="52"/>
      <c r="Y6" s="41" t="s">
        <v>118</v>
      </c>
    </row>
    <row r="7" spans="1:45" hidden="1" x14ac:dyDescent="0.3">
      <c r="A7" s="304"/>
      <c r="B7" s="304"/>
      <c r="C7" s="305"/>
      <c r="D7" s="7" t="s">
        <v>340</v>
      </c>
      <c r="E7" s="76">
        <v>9810592000202</v>
      </c>
      <c r="F7" s="9">
        <v>6.5</v>
      </c>
      <c r="G7" s="8" t="s">
        <v>8</v>
      </c>
      <c r="H7" s="26" t="s">
        <v>96</v>
      </c>
      <c r="I7" s="26" t="s">
        <v>9</v>
      </c>
      <c r="J7" s="26" t="s">
        <v>76</v>
      </c>
      <c r="K7" s="67">
        <v>12000</v>
      </c>
      <c r="L7" s="131">
        <f t="shared" si="4"/>
        <v>3120</v>
      </c>
      <c r="M7" s="157">
        <f t="shared" si="0"/>
        <v>9.3333333333333338E-2</v>
      </c>
      <c r="N7" s="131">
        <f t="shared" si="5"/>
        <v>7200</v>
      </c>
      <c r="O7" s="132">
        <f t="shared" si="1"/>
        <v>0.43333333333333335</v>
      </c>
      <c r="P7" s="73">
        <v>2000</v>
      </c>
      <c r="Q7" s="56">
        <f t="shared" si="6"/>
        <v>195</v>
      </c>
      <c r="R7" s="48">
        <f t="shared" si="2"/>
        <v>1805</v>
      </c>
      <c r="S7" s="52">
        <v>1100</v>
      </c>
      <c r="T7" s="52">
        <v>605</v>
      </c>
      <c r="U7" s="52">
        <f t="shared" si="3"/>
        <v>93.07692307692308</v>
      </c>
      <c r="V7" s="52">
        <v>0</v>
      </c>
      <c r="W7" s="52">
        <v>100</v>
      </c>
      <c r="X7" s="52"/>
      <c r="Y7" s="41" t="s">
        <v>118</v>
      </c>
    </row>
    <row r="8" spans="1:45" hidden="1" x14ac:dyDescent="0.3">
      <c r="A8" s="304"/>
      <c r="B8" s="304"/>
      <c r="C8" s="305"/>
      <c r="D8" s="7" t="s">
        <v>341</v>
      </c>
      <c r="E8" s="76">
        <v>9810592000203</v>
      </c>
      <c r="F8" s="9">
        <v>6.5</v>
      </c>
      <c r="G8" s="8" t="s">
        <v>8</v>
      </c>
      <c r="H8" s="26" t="s">
        <v>96</v>
      </c>
      <c r="I8" s="26" t="s">
        <v>9</v>
      </c>
      <c r="J8" s="26" t="s">
        <v>76</v>
      </c>
      <c r="K8" s="67">
        <v>12000</v>
      </c>
      <c r="L8" s="131">
        <f t="shared" si="4"/>
        <v>3120</v>
      </c>
      <c r="M8" s="157">
        <f t="shared" si="0"/>
        <v>9.3333333333333338E-2</v>
      </c>
      <c r="N8" s="131">
        <f t="shared" si="5"/>
        <v>7200</v>
      </c>
      <c r="O8" s="132">
        <f t="shared" si="1"/>
        <v>0.43333333333333335</v>
      </c>
      <c r="P8" s="73">
        <v>2000</v>
      </c>
      <c r="Q8" s="56">
        <f t="shared" si="6"/>
        <v>162</v>
      </c>
      <c r="R8" s="48">
        <f t="shared" si="2"/>
        <v>1838</v>
      </c>
      <c r="S8" s="52">
        <v>1140</v>
      </c>
      <c r="T8" s="52">
        <v>598</v>
      </c>
      <c r="U8" s="52">
        <f t="shared" si="3"/>
        <v>92</v>
      </c>
      <c r="V8" s="52">
        <v>0</v>
      </c>
      <c r="W8" s="52">
        <v>100</v>
      </c>
      <c r="X8" s="52"/>
      <c r="Y8" s="41" t="s">
        <v>118</v>
      </c>
    </row>
    <row r="9" spans="1:45" hidden="1" x14ac:dyDescent="0.3">
      <c r="A9" s="304"/>
      <c r="B9" s="304"/>
      <c r="C9" s="305"/>
      <c r="D9" s="7" t="s">
        <v>342</v>
      </c>
      <c r="E9" s="76">
        <v>9810592000115</v>
      </c>
      <c r="F9" s="16">
        <v>30</v>
      </c>
      <c r="G9" s="8" t="s">
        <v>16</v>
      </c>
      <c r="H9" s="113" t="s">
        <v>271</v>
      </c>
      <c r="I9" s="26" t="s">
        <v>11</v>
      </c>
      <c r="J9" s="26" t="s">
        <v>77</v>
      </c>
      <c r="K9" s="67">
        <v>15000</v>
      </c>
      <c r="L9" s="131">
        <f t="shared" si="4"/>
        <v>3900</v>
      </c>
      <c r="M9" s="157">
        <f t="shared" si="0"/>
        <v>0.13333333333333333</v>
      </c>
      <c r="N9" s="131">
        <f t="shared" si="5"/>
        <v>9000</v>
      </c>
      <c r="O9" s="132">
        <f t="shared" si="1"/>
        <v>0.47333333333333333</v>
      </c>
      <c r="P9" s="73">
        <v>1900</v>
      </c>
      <c r="Q9" s="56">
        <f t="shared" si="6"/>
        <v>150.99999999999977</v>
      </c>
      <c r="R9" s="112">
        <f t="shared" si="2"/>
        <v>1749.0000000000002</v>
      </c>
      <c r="S9" s="57">
        <f>450*1.1</f>
        <v>495.00000000000006</v>
      </c>
      <c r="T9" s="57">
        <f>800*1.1</f>
        <v>880.00000000000011</v>
      </c>
      <c r="U9" s="52">
        <f t="shared" si="3"/>
        <v>29.333333333333336</v>
      </c>
      <c r="V9" s="118">
        <v>264</v>
      </c>
      <c r="W9" s="52">
        <v>110</v>
      </c>
      <c r="X9" s="52"/>
      <c r="Y9" s="41" t="s">
        <v>122</v>
      </c>
      <c r="Z9" s="40" t="s">
        <v>272</v>
      </c>
    </row>
    <row r="10" spans="1:45" hidden="1" x14ac:dyDescent="0.3">
      <c r="A10" s="304"/>
      <c r="B10" s="304"/>
      <c r="C10" s="305"/>
      <c r="D10" s="7" t="s">
        <v>343</v>
      </c>
      <c r="E10" s="76">
        <v>9810592000114</v>
      </c>
      <c r="F10" s="16">
        <v>30</v>
      </c>
      <c r="G10" s="8" t="s">
        <v>16</v>
      </c>
      <c r="H10" s="113" t="s">
        <v>271</v>
      </c>
      <c r="I10" s="26" t="s">
        <v>35</v>
      </c>
      <c r="J10" s="26" t="s">
        <v>77</v>
      </c>
      <c r="K10" s="67">
        <v>15000</v>
      </c>
      <c r="L10" s="131">
        <f t="shared" si="4"/>
        <v>3900</v>
      </c>
      <c r="M10" s="157">
        <f t="shared" si="0"/>
        <v>0.12</v>
      </c>
      <c r="N10" s="131">
        <f t="shared" si="5"/>
        <v>9000</v>
      </c>
      <c r="O10" s="132">
        <f t="shared" si="1"/>
        <v>0.46</v>
      </c>
      <c r="P10" s="73">
        <v>2100</v>
      </c>
      <c r="Q10" s="56">
        <f t="shared" si="6"/>
        <v>328.99999999999977</v>
      </c>
      <c r="R10" s="112">
        <f t="shared" si="2"/>
        <v>1771.0000000000002</v>
      </c>
      <c r="S10" s="57">
        <f>450*1.1</f>
        <v>495.00000000000006</v>
      </c>
      <c r="T10" s="57">
        <f>800*1.1</f>
        <v>880.00000000000011</v>
      </c>
      <c r="U10" s="52">
        <f t="shared" si="3"/>
        <v>29.333333333333336</v>
      </c>
      <c r="V10" s="52">
        <v>275</v>
      </c>
      <c r="W10" s="52">
        <v>121</v>
      </c>
      <c r="X10" s="52"/>
      <c r="Y10" s="41" t="s">
        <v>122</v>
      </c>
      <c r="Z10" s="40" t="s">
        <v>272</v>
      </c>
    </row>
    <row r="11" spans="1:45" hidden="1" x14ac:dyDescent="0.3">
      <c r="A11" s="304"/>
      <c r="B11" s="304"/>
      <c r="C11" s="305"/>
      <c r="D11" s="7" t="s">
        <v>344</v>
      </c>
      <c r="E11" s="76">
        <v>9810592000113</v>
      </c>
      <c r="F11" s="16">
        <v>30</v>
      </c>
      <c r="G11" s="8" t="s">
        <v>16</v>
      </c>
      <c r="H11" s="113" t="s">
        <v>271</v>
      </c>
      <c r="I11" s="26" t="s">
        <v>35</v>
      </c>
      <c r="J11" s="26" t="s">
        <v>77</v>
      </c>
      <c r="K11" s="67">
        <v>15000</v>
      </c>
      <c r="L11" s="131">
        <f t="shared" si="4"/>
        <v>3900</v>
      </c>
      <c r="M11" s="157">
        <f t="shared" si="0"/>
        <v>0.13333333333333333</v>
      </c>
      <c r="N11" s="131">
        <f t="shared" si="5"/>
        <v>9000</v>
      </c>
      <c r="O11" s="132">
        <f t="shared" si="1"/>
        <v>0.47333333333333333</v>
      </c>
      <c r="P11" s="73">
        <v>1900</v>
      </c>
      <c r="Q11" s="56">
        <f t="shared" si="6"/>
        <v>128.99999999999977</v>
      </c>
      <c r="R11" s="112">
        <f t="shared" si="2"/>
        <v>1771.0000000000002</v>
      </c>
      <c r="S11" s="57">
        <f>450*1.1</f>
        <v>495.00000000000006</v>
      </c>
      <c r="T11" s="57">
        <f>800*1.1</f>
        <v>880.00000000000011</v>
      </c>
      <c r="U11" s="52">
        <f t="shared" si="3"/>
        <v>29.333333333333336</v>
      </c>
      <c r="V11" s="52">
        <v>275</v>
      </c>
      <c r="W11" s="52">
        <v>121</v>
      </c>
      <c r="X11" s="52"/>
      <c r="Y11" s="41" t="s">
        <v>122</v>
      </c>
      <c r="Z11" s="40" t="s">
        <v>272</v>
      </c>
    </row>
    <row r="12" spans="1:45" x14ac:dyDescent="0.3">
      <c r="A12" s="304"/>
      <c r="B12" s="304"/>
      <c r="C12" s="305"/>
      <c r="D12" s="7" t="s">
        <v>345</v>
      </c>
      <c r="E12" s="76">
        <v>9810592000187</v>
      </c>
      <c r="F12" s="12">
        <v>30</v>
      </c>
      <c r="G12" s="8" t="s">
        <v>16</v>
      </c>
      <c r="H12" s="26" t="s">
        <v>12</v>
      </c>
      <c r="I12" s="26" t="s">
        <v>11</v>
      </c>
      <c r="J12" s="26" t="s">
        <v>516</v>
      </c>
      <c r="K12" s="67">
        <v>7000</v>
      </c>
      <c r="L12" s="131">
        <f t="shared" si="4"/>
        <v>1820</v>
      </c>
      <c r="M12" s="157">
        <f t="shared" si="0"/>
        <v>8.8571428571428565E-2</v>
      </c>
      <c r="N12" s="131">
        <f t="shared" si="5"/>
        <v>4200</v>
      </c>
      <c r="O12" s="132">
        <f t="shared" si="1"/>
        <v>0.42857142857142855</v>
      </c>
      <c r="P12" s="73">
        <v>1200</v>
      </c>
      <c r="Q12" s="56">
        <f t="shared" si="6"/>
        <v>103</v>
      </c>
      <c r="R12" s="48">
        <f t="shared" si="2"/>
        <v>1097</v>
      </c>
      <c r="S12" s="52">
        <v>170</v>
      </c>
      <c r="T12" s="52">
        <v>440</v>
      </c>
      <c r="U12" s="52">
        <f t="shared" si="3"/>
        <v>14.666666666666666</v>
      </c>
      <c r="V12" s="52">
        <v>330</v>
      </c>
      <c r="W12" s="52">
        <v>157</v>
      </c>
      <c r="X12" s="52"/>
      <c r="Y12" s="43" t="s">
        <v>123</v>
      </c>
      <c r="AC12" s="168">
        <f>SUM(AD12:AR12)</f>
        <v>1096.4000000000001</v>
      </c>
      <c r="AD12" s="169">
        <v>440</v>
      </c>
      <c r="AE12" s="168">
        <v>110</v>
      </c>
      <c r="AF12" s="168">
        <v>330</v>
      </c>
      <c r="AG12" s="168">
        <v>0</v>
      </c>
      <c r="AH12" s="168"/>
      <c r="AI12" s="168"/>
      <c r="AJ12" s="168"/>
      <c r="AK12" s="170">
        <v>157</v>
      </c>
      <c r="AL12" s="170"/>
      <c r="AM12" s="168"/>
      <c r="AN12" s="170"/>
      <c r="AO12" s="168"/>
      <c r="AP12" s="168"/>
      <c r="AQ12" s="168">
        <f>X12/1.1</f>
        <v>0</v>
      </c>
      <c r="AR12" s="171">
        <v>59.4</v>
      </c>
      <c r="AS12" s="159">
        <f>1070*1.1</f>
        <v>1177</v>
      </c>
    </row>
    <row r="13" spans="1:45" hidden="1" x14ac:dyDescent="0.3">
      <c r="A13" s="304"/>
      <c r="B13" s="304"/>
      <c r="C13" s="305"/>
      <c r="D13" s="7" t="s">
        <v>346</v>
      </c>
      <c r="E13" s="76">
        <v>9810592000188</v>
      </c>
      <c r="F13" s="16">
        <v>30</v>
      </c>
      <c r="G13" s="8" t="s">
        <v>16</v>
      </c>
      <c r="H13" s="26" t="s">
        <v>13</v>
      </c>
      <c r="I13" s="26" t="s">
        <v>35</v>
      </c>
      <c r="J13" s="26" t="s">
        <v>77</v>
      </c>
      <c r="K13" s="67">
        <v>12000</v>
      </c>
      <c r="L13" s="131">
        <f t="shared" si="4"/>
        <v>3120</v>
      </c>
      <c r="M13" s="157">
        <f t="shared" si="0"/>
        <v>0.10166666666666667</v>
      </c>
      <c r="N13" s="131">
        <f t="shared" si="5"/>
        <v>7200</v>
      </c>
      <c r="O13" s="132">
        <f t="shared" si="1"/>
        <v>0.44166666666666665</v>
      </c>
      <c r="P13" s="73">
        <v>1900</v>
      </c>
      <c r="Q13" s="56">
        <f t="shared" si="6"/>
        <v>151</v>
      </c>
      <c r="R13" s="48">
        <f t="shared" si="2"/>
        <v>1749</v>
      </c>
      <c r="S13" s="52">
        <v>730</v>
      </c>
      <c r="T13" s="52">
        <v>480</v>
      </c>
      <c r="U13" s="52">
        <f t="shared" si="3"/>
        <v>16</v>
      </c>
      <c r="V13" s="52">
        <v>352</v>
      </c>
      <c r="W13" s="52">
        <v>187</v>
      </c>
      <c r="X13" s="52"/>
      <c r="Y13" s="41" t="s">
        <v>124</v>
      </c>
    </row>
    <row r="14" spans="1:45" hidden="1" x14ac:dyDescent="0.3">
      <c r="A14" s="304"/>
      <c r="B14" s="304"/>
      <c r="C14" s="305"/>
      <c r="D14" s="7" t="s">
        <v>347</v>
      </c>
      <c r="E14" s="76">
        <v>9810592000189</v>
      </c>
      <c r="F14" s="16">
        <v>30</v>
      </c>
      <c r="G14" s="8" t="s">
        <v>16</v>
      </c>
      <c r="H14" s="26" t="s">
        <v>13</v>
      </c>
      <c r="I14" s="26" t="s">
        <v>35</v>
      </c>
      <c r="J14" s="26" t="s">
        <v>77</v>
      </c>
      <c r="K14" s="67">
        <v>12000</v>
      </c>
      <c r="L14" s="131">
        <f t="shared" si="4"/>
        <v>3120</v>
      </c>
      <c r="M14" s="157">
        <f t="shared" si="0"/>
        <v>0.10166666666666667</v>
      </c>
      <c r="N14" s="131">
        <f t="shared" si="5"/>
        <v>7200</v>
      </c>
      <c r="O14" s="132">
        <f t="shared" si="1"/>
        <v>0.44166666666666665</v>
      </c>
      <c r="P14" s="73">
        <v>1900</v>
      </c>
      <c r="Q14" s="56">
        <f t="shared" si="6"/>
        <v>151</v>
      </c>
      <c r="R14" s="48">
        <f t="shared" si="2"/>
        <v>1749</v>
      </c>
      <c r="S14" s="52">
        <v>730</v>
      </c>
      <c r="T14" s="52">
        <v>480</v>
      </c>
      <c r="U14" s="52">
        <f t="shared" si="3"/>
        <v>16</v>
      </c>
      <c r="V14" s="52">
        <v>352</v>
      </c>
      <c r="W14" s="52">
        <v>187</v>
      </c>
      <c r="X14" s="52"/>
      <c r="Y14" s="41" t="s">
        <v>124</v>
      </c>
    </row>
    <row r="15" spans="1:45" x14ac:dyDescent="0.3">
      <c r="A15" s="304"/>
      <c r="B15" s="304"/>
      <c r="C15" s="305" t="s">
        <v>85</v>
      </c>
      <c r="D15" s="7" t="s">
        <v>348</v>
      </c>
      <c r="E15" s="76">
        <v>9810592000090</v>
      </c>
      <c r="F15" s="16">
        <v>14</v>
      </c>
      <c r="G15" s="8" t="s">
        <v>8</v>
      </c>
      <c r="H15" s="26" t="s">
        <v>13</v>
      </c>
      <c r="I15" s="26" t="s">
        <v>14</v>
      </c>
      <c r="J15" s="26" t="s">
        <v>76</v>
      </c>
      <c r="K15" s="67">
        <v>21000</v>
      </c>
      <c r="L15" s="131">
        <f t="shared" si="4"/>
        <v>5460</v>
      </c>
      <c r="M15" s="157">
        <f t="shared" si="0"/>
        <v>6.4761904761904757E-2</v>
      </c>
      <c r="N15" s="131">
        <f t="shared" si="5"/>
        <v>12600</v>
      </c>
      <c r="O15" s="132">
        <f t="shared" si="1"/>
        <v>0.40476190476190477</v>
      </c>
      <c r="P15" s="73">
        <v>4100</v>
      </c>
      <c r="Q15" s="56">
        <f t="shared" si="6"/>
        <v>151</v>
      </c>
      <c r="R15" s="48">
        <f t="shared" si="2"/>
        <v>3949</v>
      </c>
      <c r="S15" s="52">
        <v>920</v>
      </c>
      <c r="T15" s="52">
        <v>488</v>
      </c>
      <c r="U15" s="52">
        <f t="shared" si="3"/>
        <v>34.857142857142854</v>
      </c>
      <c r="V15" s="52">
        <v>1760</v>
      </c>
      <c r="W15" s="52">
        <v>187</v>
      </c>
      <c r="X15" s="53">
        <f>350*1.1+140*1.1+20*1.1+30*1.1</f>
        <v>594</v>
      </c>
      <c r="Y15" s="43" t="s">
        <v>169</v>
      </c>
      <c r="AC15" s="172">
        <f t="shared" ref="AC15:AC29" si="7">SUM(AD15:AR15)</f>
        <v>3949</v>
      </c>
      <c r="AD15" s="169">
        <v>770</v>
      </c>
      <c r="AE15" s="172">
        <v>638</v>
      </c>
      <c r="AF15" s="172">
        <f>(1300+300)*1.1</f>
        <v>1760.0000000000002</v>
      </c>
      <c r="AG15" s="168"/>
      <c r="AH15" s="168"/>
      <c r="AI15" s="168"/>
      <c r="AJ15" s="168"/>
      <c r="AK15" s="170">
        <v>187</v>
      </c>
      <c r="AL15" s="170"/>
      <c r="AM15" s="168">
        <v>22</v>
      </c>
      <c r="AN15" s="170"/>
      <c r="AO15" s="168">
        <v>385</v>
      </c>
      <c r="AP15" s="169">
        <v>154</v>
      </c>
      <c r="AQ15" s="168">
        <v>0</v>
      </c>
      <c r="AR15" s="171">
        <v>33</v>
      </c>
      <c r="AS15" s="159">
        <f>3507*1.1</f>
        <v>3857.7000000000003</v>
      </c>
    </row>
    <row r="16" spans="1:45" x14ac:dyDescent="0.3">
      <c r="A16" s="304"/>
      <c r="B16" s="304"/>
      <c r="C16" s="305"/>
      <c r="D16" s="7" t="s">
        <v>349</v>
      </c>
      <c r="E16" s="76">
        <v>9810592000089</v>
      </c>
      <c r="F16" s="16">
        <v>14</v>
      </c>
      <c r="G16" s="8" t="s">
        <v>8</v>
      </c>
      <c r="H16" s="26" t="s">
        <v>13</v>
      </c>
      <c r="I16" s="26" t="s">
        <v>14</v>
      </c>
      <c r="J16" s="26" t="s">
        <v>76</v>
      </c>
      <c r="K16" s="67">
        <v>21000</v>
      </c>
      <c r="L16" s="131">
        <f t="shared" si="4"/>
        <v>5460</v>
      </c>
      <c r="M16" s="157">
        <f t="shared" si="0"/>
        <v>6.4761904761904757E-2</v>
      </c>
      <c r="N16" s="131">
        <f t="shared" si="5"/>
        <v>12600</v>
      </c>
      <c r="O16" s="132">
        <f t="shared" si="1"/>
        <v>0.40476190476190477</v>
      </c>
      <c r="P16" s="73">
        <v>4100</v>
      </c>
      <c r="Q16" s="56">
        <f t="shared" si="6"/>
        <v>151</v>
      </c>
      <c r="R16" s="48">
        <f t="shared" si="2"/>
        <v>3949</v>
      </c>
      <c r="S16" s="52">
        <v>920</v>
      </c>
      <c r="T16" s="52">
        <v>488</v>
      </c>
      <c r="U16" s="52">
        <f t="shared" si="3"/>
        <v>34.857142857142854</v>
      </c>
      <c r="V16" s="52">
        <v>1760</v>
      </c>
      <c r="W16" s="52">
        <v>187</v>
      </c>
      <c r="X16" s="53">
        <f>350*1.1+140*1.1+20*1.1+30*1.1</f>
        <v>594</v>
      </c>
      <c r="Y16" s="43" t="s">
        <v>169</v>
      </c>
      <c r="AC16" s="172">
        <f t="shared" si="7"/>
        <v>3949</v>
      </c>
      <c r="AD16" s="169">
        <v>770</v>
      </c>
      <c r="AE16" s="172">
        <v>638</v>
      </c>
      <c r="AF16" s="172">
        <f>(1300+300)*1.1</f>
        <v>1760.0000000000002</v>
      </c>
      <c r="AG16" s="168"/>
      <c r="AH16" s="168"/>
      <c r="AI16" s="168"/>
      <c r="AJ16" s="168"/>
      <c r="AK16" s="170">
        <v>187</v>
      </c>
      <c r="AL16" s="170"/>
      <c r="AM16" s="168">
        <v>22</v>
      </c>
      <c r="AN16" s="170"/>
      <c r="AO16" s="168">
        <v>385</v>
      </c>
      <c r="AP16" s="169">
        <v>154</v>
      </c>
      <c r="AQ16" s="168">
        <v>0</v>
      </c>
      <c r="AR16" s="171">
        <v>33</v>
      </c>
      <c r="AS16" s="159">
        <f>3507*1.1</f>
        <v>3857.7000000000003</v>
      </c>
    </row>
    <row r="17" spans="1:45" x14ac:dyDescent="0.3">
      <c r="A17" s="304"/>
      <c r="B17" s="304" t="s">
        <v>15</v>
      </c>
      <c r="C17" s="296" t="s">
        <v>83</v>
      </c>
      <c r="D17" s="18" t="s">
        <v>350</v>
      </c>
      <c r="E17" s="76">
        <v>9810592000388</v>
      </c>
      <c r="F17" s="11">
        <v>0.55000000000000004</v>
      </c>
      <c r="G17" s="8" t="s">
        <v>16</v>
      </c>
      <c r="H17" s="26" t="s">
        <v>81</v>
      </c>
      <c r="I17" s="26" t="s">
        <v>81</v>
      </c>
      <c r="J17" s="26" t="s">
        <v>78</v>
      </c>
      <c r="K17" s="67">
        <v>9000</v>
      </c>
      <c r="L17" s="131">
        <f t="shared" si="4"/>
        <v>2340</v>
      </c>
      <c r="M17" s="157">
        <f t="shared" si="0"/>
        <v>7.1111111111111111E-2</v>
      </c>
      <c r="N17" s="131">
        <f t="shared" si="5"/>
        <v>5400</v>
      </c>
      <c r="O17" s="132">
        <f t="shared" si="1"/>
        <v>0.41111111111111109</v>
      </c>
      <c r="P17" s="73">
        <v>1700</v>
      </c>
      <c r="Q17" s="56">
        <f t="shared" si="6"/>
        <v>130</v>
      </c>
      <c r="R17" s="48">
        <f t="shared" si="2"/>
        <v>1570</v>
      </c>
      <c r="S17" s="52">
        <v>710</v>
      </c>
      <c r="T17" s="52">
        <v>220</v>
      </c>
      <c r="U17" s="52">
        <f t="shared" si="3"/>
        <v>399.99999999999994</v>
      </c>
      <c r="V17" s="52">
        <v>500</v>
      </c>
      <c r="W17" s="53">
        <v>140</v>
      </c>
      <c r="X17" s="52">
        <v>0</v>
      </c>
      <c r="Y17" s="41" t="s">
        <v>124</v>
      </c>
      <c r="AA17" s="40" t="s">
        <v>15</v>
      </c>
      <c r="AB17" s="40">
        <v>22</v>
      </c>
      <c r="AC17" s="168">
        <f t="shared" si="7"/>
        <v>1570</v>
      </c>
      <c r="AD17" s="168">
        <v>220</v>
      </c>
      <c r="AE17" s="168">
        <v>220</v>
      </c>
      <c r="AF17" s="173">
        <v>990</v>
      </c>
      <c r="AG17" s="168"/>
      <c r="AH17" s="168"/>
      <c r="AI17" s="168"/>
      <c r="AJ17" s="168"/>
      <c r="AK17" s="170">
        <v>140</v>
      </c>
      <c r="AL17" s="170"/>
      <c r="AM17" s="168"/>
      <c r="AN17" s="170"/>
      <c r="AO17" s="168"/>
      <c r="AP17" s="168"/>
      <c r="AQ17" s="168">
        <f>X17/1.1</f>
        <v>0</v>
      </c>
      <c r="AR17" s="171"/>
      <c r="AS17" s="159"/>
    </row>
    <row r="18" spans="1:45" x14ac:dyDescent="0.3">
      <c r="A18" s="304"/>
      <c r="B18" s="304"/>
      <c r="C18" s="296"/>
      <c r="D18" s="18" t="s">
        <v>351</v>
      </c>
      <c r="E18" s="76">
        <v>9810592000389</v>
      </c>
      <c r="F18" s="11">
        <v>0.55000000000000004</v>
      </c>
      <c r="G18" s="8" t="s">
        <v>16</v>
      </c>
      <c r="H18" s="26" t="s">
        <v>81</v>
      </c>
      <c r="I18" s="26" t="s">
        <v>81</v>
      </c>
      <c r="J18" s="26" t="s">
        <v>78</v>
      </c>
      <c r="K18" s="67">
        <v>9000</v>
      </c>
      <c r="L18" s="131">
        <f t="shared" si="4"/>
        <v>2340</v>
      </c>
      <c r="M18" s="157">
        <f t="shared" si="0"/>
        <v>7.1111111111111111E-2</v>
      </c>
      <c r="N18" s="131">
        <f t="shared" si="5"/>
        <v>5400</v>
      </c>
      <c r="O18" s="132">
        <f t="shared" si="1"/>
        <v>0.41111111111111109</v>
      </c>
      <c r="P18" s="73">
        <v>1700</v>
      </c>
      <c r="Q18" s="56">
        <f t="shared" si="6"/>
        <v>116</v>
      </c>
      <c r="R18" s="48">
        <f t="shared" si="2"/>
        <v>1584</v>
      </c>
      <c r="S18" s="52">
        <v>710</v>
      </c>
      <c r="T18" s="52">
        <v>220</v>
      </c>
      <c r="U18" s="52">
        <f t="shared" si="3"/>
        <v>399.99999999999994</v>
      </c>
      <c r="V18" s="52">
        <v>500</v>
      </c>
      <c r="W18" s="52">
        <v>154</v>
      </c>
      <c r="X18" s="52">
        <v>0</v>
      </c>
      <c r="Y18" s="41" t="s">
        <v>124</v>
      </c>
      <c r="AC18" s="168">
        <f t="shared" si="7"/>
        <v>1584</v>
      </c>
      <c r="AD18" s="168">
        <v>220</v>
      </c>
      <c r="AE18" s="168">
        <v>220</v>
      </c>
      <c r="AF18" s="173">
        <v>990</v>
      </c>
      <c r="AG18" s="168"/>
      <c r="AH18" s="168"/>
      <c r="AI18" s="168"/>
      <c r="AJ18" s="168"/>
      <c r="AK18" s="170">
        <v>154</v>
      </c>
      <c r="AL18" s="170"/>
      <c r="AM18" s="168"/>
      <c r="AN18" s="170"/>
      <c r="AO18" s="168"/>
      <c r="AP18" s="168"/>
      <c r="AQ18" s="168">
        <f>X18/1.1</f>
        <v>0</v>
      </c>
      <c r="AR18" s="171"/>
      <c r="AS18" s="159"/>
    </row>
    <row r="19" spans="1:45" x14ac:dyDescent="0.3">
      <c r="A19" s="304"/>
      <c r="B19" s="304"/>
      <c r="C19" s="296" t="s">
        <v>17</v>
      </c>
      <c r="D19" s="18" t="s">
        <v>352</v>
      </c>
      <c r="E19" s="76">
        <v>9810592000075</v>
      </c>
      <c r="F19" s="11">
        <v>0.5</v>
      </c>
      <c r="G19" s="8" t="s">
        <v>8</v>
      </c>
      <c r="H19" s="26" t="s">
        <v>81</v>
      </c>
      <c r="I19" s="26" t="s">
        <v>81</v>
      </c>
      <c r="J19" s="26"/>
      <c r="K19" s="67">
        <v>7000</v>
      </c>
      <c r="L19" s="131">
        <f t="shared" si="4"/>
        <v>1820</v>
      </c>
      <c r="M19" s="157">
        <f t="shared" si="0"/>
        <v>8.8571428571428565E-2</v>
      </c>
      <c r="N19" s="131">
        <f t="shared" si="5"/>
        <v>4200</v>
      </c>
      <c r="O19" s="132">
        <f t="shared" si="1"/>
        <v>0.42857142857142855</v>
      </c>
      <c r="P19" s="73">
        <v>1200</v>
      </c>
      <c r="Q19" s="56">
        <f t="shared" si="6"/>
        <v>177</v>
      </c>
      <c r="R19" s="48">
        <f t="shared" si="2"/>
        <v>1023</v>
      </c>
      <c r="S19" s="52">
        <v>460</v>
      </c>
      <c r="T19" s="52">
        <v>110</v>
      </c>
      <c r="U19" s="52">
        <f t="shared" si="3"/>
        <v>220</v>
      </c>
      <c r="V19" s="52">
        <v>440</v>
      </c>
      <c r="W19" s="52">
        <v>0</v>
      </c>
      <c r="X19" s="53">
        <v>13</v>
      </c>
      <c r="Y19" s="43" t="s">
        <v>108</v>
      </c>
      <c r="AC19" s="168">
        <f t="shared" si="7"/>
        <v>1023.2</v>
      </c>
      <c r="AD19" s="168">
        <v>110</v>
      </c>
      <c r="AE19" s="169">
        <f>440-2</f>
        <v>438</v>
      </c>
      <c r="AF19" s="173">
        <v>462</v>
      </c>
      <c r="AG19" s="168"/>
      <c r="AH19" s="168"/>
      <c r="AI19" s="168"/>
      <c r="AJ19" s="168"/>
      <c r="AK19" s="170"/>
      <c r="AL19" s="170">
        <v>13.2</v>
      </c>
      <c r="AM19" s="168"/>
      <c r="AN19" s="170"/>
      <c r="AO19" s="168"/>
      <c r="AP19" s="168"/>
      <c r="AQ19" s="168">
        <v>0</v>
      </c>
      <c r="AR19" s="171"/>
      <c r="AS19" s="159"/>
    </row>
    <row r="20" spans="1:45" x14ac:dyDescent="0.3">
      <c r="A20" s="304"/>
      <c r="B20" s="304"/>
      <c r="C20" s="296"/>
      <c r="D20" s="18" t="s">
        <v>353</v>
      </c>
      <c r="E20" s="76">
        <v>9810592000068</v>
      </c>
      <c r="F20" s="11">
        <v>0.5</v>
      </c>
      <c r="G20" s="8" t="s">
        <v>8</v>
      </c>
      <c r="H20" s="26" t="s">
        <v>81</v>
      </c>
      <c r="I20" s="26" t="s">
        <v>81</v>
      </c>
      <c r="J20" s="26"/>
      <c r="K20" s="67">
        <v>7000</v>
      </c>
      <c r="L20" s="131">
        <f t="shared" si="4"/>
        <v>1820</v>
      </c>
      <c r="M20" s="157">
        <f t="shared" si="0"/>
        <v>8.8571428571428565E-2</v>
      </c>
      <c r="N20" s="131">
        <f t="shared" si="5"/>
        <v>4200</v>
      </c>
      <c r="O20" s="132">
        <f t="shared" si="1"/>
        <v>0.42857142857142855</v>
      </c>
      <c r="P20" s="73">
        <v>1200</v>
      </c>
      <c r="Q20" s="56">
        <f t="shared" si="6"/>
        <v>177</v>
      </c>
      <c r="R20" s="48">
        <f t="shared" si="2"/>
        <v>1023</v>
      </c>
      <c r="S20" s="52">
        <v>460</v>
      </c>
      <c r="T20" s="52">
        <v>110</v>
      </c>
      <c r="U20" s="52">
        <f t="shared" si="3"/>
        <v>220</v>
      </c>
      <c r="V20" s="52">
        <v>440</v>
      </c>
      <c r="W20" s="52">
        <v>0</v>
      </c>
      <c r="X20" s="53">
        <v>13</v>
      </c>
      <c r="Y20" s="43" t="s">
        <v>107</v>
      </c>
      <c r="AC20" s="168">
        <f t="shared" si="7"/>
        <v>1023.2</v>
      </c>
      <c r="AD20" s="168">
        <v>110</v>
      </c>
      <c r="AE20" s="169">
        <f t="shared" ref="AE20:AE29" si="8">440-2</f>
        <v>438</v>
      </c>
      <c r="AF20" s="173">
        <v>462</v>
      </c>
      <c r="AG20" s="168"/>
      <c r="AH20" s="168"/>
      <c r="AI20" s="168"/>
      <c r="AJ20" s="168"/>
      <c r="AK20" s="170"/>
      <c r="AL20" s="170">
        <v>13.2</v>
      </c>
      <c r="AM20" s="168"/>
      <c r="AN20" s="170"/>
      <c r="AO20" s="168"/>
      <c r="AP20" s="168"/>
      <c r="AQ20" s="168">
        <v>0</v>
      </c>
      <c r="AR20" s="171"/>
      <c r="AS20" s="159"/>
    </row>
    <row r="21" spans="1:45" x14ac:dyDescent="0.3">
      <c r="A21" s="304"/>
      <c r="B21" s="304"/>
      <c r="C21" s="296"/>
      <c r="D21" s="18" t="s">
        <v>354</v>
      </c>
      <c r="E21" s="76">
        <v>9810592000080</v>
      </c>
      <c r="F21" s="11">
        <v>0.5</v>
      </c>
      <c r="G21" s="8" t="s">
        <v>8</v>
      </c>
      <c r="H21" s="26" t="s">
        <v>81</v>
      </c>
      <c r="I21" s="26" t="s">
        <v>81</v>
      </c>
      <c r="J21" s="26"/>
      <c r="K21" s="67">
        <v>7000</v>
      </c>
      <c r="L21" s="131">
        <f t="shared" si="4"/>
        <v>1820</v>
      </c>
      <c r="M21" s="157">
        <f t="shared" si="0"/>
        <v>8.8571428571428565E-2</v>
      </c>
      <c r="N21" s="131">
        <f t="shared" si="5"/>
        <v>4200</v>
      </c>
      <c r="O21" s="132">
        <f t="shared" si="1"/>
        <v>0.42857142857142855</v>
      </c>
      <c r="P21" s="73">
        <v>1200</v>
      </c>
      <c r="Q21" s="56">
        <f t="shared" si="6"/>
        <v>177</v>
      </c>
      <c r="R21" s="48">
        <f t="shared" si="2"/>
        <v>1023</v>
      </c>
      <c r="S21" s="52">
        <v>460</v>
      </c>
      <c r="T21" s="52">
        <v>110</v>
      </c>
      <c r="U21" s="52">
        <f t="shared" si="3"/>
        <v>220</v>
      </c>
      <c r="V21" s="52">
        <v>440</v>
      </c>
      <c r="W21" s="52">
        <v>0</v>
      </c>
      <c r="X21" s="53">
        <v>13</v>
      </c>
      <c r="Y21" s="43" t="s">
        <v>107</v>
      </c>
      <c r="AC21" s="168">
        <f t="shared" si="7"/>
        <v>1023.2</v>
      </c>
      <c r="AD21" s="168">
        <v>110</v>
      </c>
      <c r="AE21" s="169">
        <f t="shared" si="8"/>
        <v>438</v>
      </c>
      <c r="AF21" s="173">
        <v>462</v>
      </c>
      <c r="AG21" s="168"/>
      <c r="AH21" s="168"/>
      <c r="AI21" s="168"/>
      <c r="AJ21" s="168"/>
      <c r="AK21" s="170"/>
      <c r="AL21" s="170">
        <v>13.2</v>
      </c>
      <c r="AM21" s="168"/>
      <c r="AN21" s="170"/>
      <c r="AO21" s="168"/>
      <c r="AP21" s="168"/>
      <c r="AQ21" s="168">
        <v>0</v>
      </c>
      <c r="AR21" s="171"/>
      <c r="AS21" s="159"/>
    </row>
    <row r="22" spans="1:45" x14ac:dyDescent="0.3">
      <c r="A22" s="304"/>
      <c r="B22" s="304"/>
      <c r="C22" s="296"/>
      <c r="D22" s="18" t="s">
        <v>355</v>
      </c>
      <c r="E22" s="76">
        <v>9810592000076</v>
      </c>
      <c r="F22" s="11">
        <v>0.5</v>
      </c>
      <c r="G22" s="8" t="s">
        <v>8</v>
      </c>
      <c r="H22" s="26" t="s">
        <v>81</v>
      </c>
      <c r="I22" s="26" t="s">
        <v>81</v>
      </c>
      <c r="J22" s="26"/>
      <c r="K22" s="67">
        <v>7000</v>
      </c>
      <c r="L22" s="131">
        <f t="shared" si="4"/>
        <v>1820</v>
      </c>
      <c r="M22" s="157">
        <f t="shared" si="0"/>
        <v>8.8571428571428565E-2</v>
      </c>
      <c r="N22" s="131">
        <f t="shared" si="5"/>
        <v>4200</v>
      </c>
      <c r="O22" s="132">
        <f t="shared" si="1"/>
        <v>0.42857142857142855</v>
      </c>
      <c r="P22" s="73">
        <v>1200</v>
      </c>
      <c r="Q22" s="56">
        <f t="shared" si="6"/>
        <v>177</v>
      </c>
      <c r="R22" s="48">
        <f t="shared" si="2"/>
        <v>1023</v>
      </c>
      <c r="S22" s="52">
        <v>460</v>
      </c>
      <c r="T22" s="52">
        <v>110</v>
      </c>
      <c r="U22" s="52">
        <f t="shared" si="3"/>
        <v>220</v>
      </c>
      <c r="V22" s="52">
        <v>440</v>
      </c>
      <c r="W22" s="52">
        <v>0</v>
      </c>
      <c r="X22" s="53">
        <v>13</v>
      </c>
      <c r="Y22" s="43" t="s">
        <v>107</v>
      </c>
      <c r="AC22" s="168">
        <f t="shared" si="7"/>
        <v>1023.2</v>
      </c>
      <c r="AD22" s="168">
        <v>110</v>
      </c>
      <c r="AE22" s="169">
        <f t="shared" si="8"/>
        <v>438</v>
      </c>
      <c r="AF22" s="173">
        <v>462</v>
      </c>
      <c r="AG22" s="168"/>
      <c r="AH22" s="168"/>
      <c r="AI22" s="168"/>
      <c r="AJ22" s="168"/>
      <c r="AK22" s="170"/>
      <c r="AL22" s="170">
        <v>13.2</v>
      </c>
      <c r="AM22" s="168"/>
      <c r="AN22" s="170"/>
      <c r="AO22" s="168"/>
      <c r="AP22" s="168"/>
      <c r="AQ22" s="168">
        <v>0</v>
      </c>
      <c r="AR22" s="171"/>
      <c r="AS22" s="159"/>
    </row>
    <row r="23" spans="1:45" x14ac:dyDescent="0.3">
      <c r="A23" s="304"/>
      <c r="B23" s="304"/>
      <c r="C23" s="296"/>
      <c r="D23" s="18" t="s">
        <v>356</v>
      </c>
      <c r="E23" s="76">
        <v>9810592000077</v>
      </c>
      <c r="F23" s="11">
        <v>0.5</v>
      </c>
      <c r="G23" s="8" t="s">
        <v>8</v>
      </c>
      <c r="H23" s="26" t="s">
        <v>81</v>
      </c>
      <c r="I23" s="26" t="s">
        <v>81</v>
      </c>
      <c r="J23" s="26"/>
      <c r="K23" s="67">
        <v>7000</v>
      </c>
      <c r="L23" s="131">
        <f t="shared" si="4"/>
        <v>1820</v>
      </c>
      <c r="M23" s="157">
        <f t="shared" si="0"/>
        <v>8.8571428571428565E-2</v>
      </c>
      <c r="N23" s="131">
        <f t="shared" si="5"/>
        <v>4200</v>
      </c>
      <c r="O23" s="132">
        <f t="shared" si="1"/>
        <v>0.42857142857142855</v>
      </c>
      <c r="P23" s="73">
        <v>1200</v>
      </c>
      <c r="Q23" s="56">
        <f t="shared" si="6"/>
        <v>177</v>
      </c>
      <c r="R23" s="48">
        <f t="shared" si="2"/>
        <v>1023</v>
      </c>
      <c r="S23" s="52">
        <v>460</v>
      </c>
      <c r="T23" s="52">
        <v>110</v>
      </c>
      <c r="U23" s="52">
        <f t="shared" si="3"/>
        <v>220</v>
      </c>
      <c r="V23" s="52">
        <v>440</v>
      </c>
      <c r="W23" s="52">
        <v>0</v>
      </c>
      <c r="X23" s="53">
        <v>13</v>
      </c>
      <c r="Y23" s="43" t="s">
        <v>107</v>
      </c>
      <c r="AC23" s="168">
        <f t="shared" si="7"/>
        <v>1023.2</v>
      </c>
      <c r="AD23" s="168">
        <v>110</v>
      </c>
      <c r="AE23" s="169">
        <f t="shared" si="8"/>
        <v>438</v>
      </c>
      <c r="AF23" s="173">
        <v>462</v>
      </c>
      <c r="AG23" s="168"/>
      <c r="AH23" s="168"/>
      <c r="AI23" s="168"/>
      <c r="AJ23" s="168"/>
      <c r="AK23" s="170"/>
      <c r="AL23" s="170">
        <v>13.2</v>
      </c>
      <c r="AM23" s="168"/>
      <c r="AN23" s="170"/>
      <c r="AO23" s="168"/>
      <c r="AP23" s="168"/>
      <c r="AQ23" s="168">
        <v>0</v>
      </c>
      <c r="AR23" s="171"/>
      <c r="AS23" s="159"/>
    </row>
    <row r="24" spans="1:45" x14ac:dyDescent="0.3">
      <c r="A24" s="304"/>
      <c r="B24" s="304"/>
      <c r="C24" s="296"/>
      <c r="D24" s="18" t="s">
        <v>357</v>
      </c>
      <c r="E24" s="76">
        <v>9810592000079</v>
      </c>
      <c r="F24" s="11">
        <v>0.5</v>
      </c>
      <c r="G24" s="8" t="s">
        <v>8</v>
      </c>
      <c r="H24" s="26" t="s">
        <v>81</v>
      </c>
      <c r="I24" s="26" t="s">
        <v>81</v>
      </c>
      <c r="J24" s="26"/>
      <c r="K24" s="67">
        <v>7000</v>
      </c>
      <c r="L24" s="131">
        <f t="shared" si="4"/>
        <v>1820</v>
      </c>
      <c r="M24" s="157">
        <f t="shared" si="0"/>
        <v>8.8571428571428565E-2</v>
      </c>
      <c r="N24" s="131">
        <f t="shared" si="5"/>
        <v>4200</v>
      </c>
      <c r="O24" s="132">
        <f t="shared" si="1"/>
        <v>0.42857142857142855</v>
      </c>
      <c r="P24" s="73">
        <v>1200</v>
      </c>
      <c r="Q24" s="56">
        <f t="shared" si="6"/>
        <v>177</v>
      </c>
      <c r="R24" s="48">
        <f t="shared" si="2"/>
        <v>1023</v>
      </c>
      <c r="S24" s="52">
        <v>460</v>
      </c>
      <c r="T24" s="52">
        <v>110</v>
      </c>
      <c r="U24" s="52">
        <f t="shared" si="3"/>
        <v>220</v>
      </c>
      <c r="V24" s="52">
        <v>440</v>
      </c>
      <c r="W24" s="52">
        <v>0</v>
      </c>
      <c r="X24" s="53">
        <v>13</v>
      </c>
      <c r="Y24" s="43" t="s">
        <v>107</v>
      </c>
      <c r="AC24" s="168">
        <f t="shared" si="7"/>
        <v>1023.2</v>
      </c>
      <c r="AD24" s="168">
        <v>110</v>
      </c>
      <c r="AE24" s="169">
        <f t="shared" si="8"/>
        <v>438</v>
      </c>
      <c r="AF24" s="173">
        <v>462</v>
      </c>
      <c r="AG24" s="168"/>
      <c r="AH24" s="168"/>
      <c r="AI24" s="168"/>
      <c r="AJ24" s="168"/>
      <c r="AK24" s="170"/>
      <c r="AL24" s="170">
        <v>13.2</v>
      </c>
      <c r="AM24" s="168"/>
      <c r="AN24" s="170"/>
      <c r="AO24" s="168"/>
      <c r="AP24" s="168"/>
      <c r="AQ24" s="168">
        <v>0</v>
      </c>
      <c r="AR24" s="171"/>
      <c r="AS24" s="159"/>
    </row>
    <row r="25" spans="1:45" x14ac:dyDescent="0.3">
      <c r="A25" s="304"/>
      <c r="B25" s="304"/>
      <c r="C25" s="296"/>
      <c r="D25" s="18" t="s">
        <v>358</v>
      </c>
      <c r="E25" s="76">
        <v>9810592000070</v>
      </c>
      <c r="F25" s="11">
        <v>0.5</v>
      </c>
      <c r="G25" s="8" t="s">
        <v>8</v>
      </c>
      <c r="H25" s="26" t="s">
        <v>81</v>
      </c>
      <c r="I25" s="26" t="s">
        <v>81</v>
      </c>
      <c r="J25" s="26"/>
      <c r="K25" s="67">
        <v>7000</v>
      </c>
      <c r="L25" s="131">
        <f t="shared" si="4"/>
        <v>1820</v>
      </c>
      <c r="M25" s="157">
        <f t="shared" si="0"/>
        <v>8.8571428571428565E-2</v>
      </c>
      <c r="N25" s="131">
        <f t="shared" si="5"/>
        <v>4200</v>
      </c>
      <c r="O25" s="132">
        <f t="shared" si="1"/>
        <v>0.42857142857142855</v>
      </c>
      <c r="P25" s="73">
        <v>1200</v>
      </c>
      <c r="Q25" s="56">
        <f t="shared" si="6"/>
        <v>177</v>
      </c>
      <c r="R25" s="48">
        <f t="shared" si="2"/>
        <v>1023</v>
      </c>
      <c r="S25" s="52">
        <v>460</v>
      </c>
      <c r="T25" s="52">
        <v>110</v>
      </c>
      <c r="U25" s="52">
        <f t="shared" si="3"/>
        <v>220</v>
      </c>
      <c r="V25" s="52">
        <v>440</v>
      </c>
      <c r="W25" s="52">
        <v>0</v>
      </c>
      <c r="X25" s="53">
        <v>13</v>
      </c>
      <c r="Y25" s="43" t="s">
        <v>107</v>
      </c>
      <c r="AC25" s="168">
        <f t="shared" si="7"/>
        <v>1023.2</v>
      </c>
      <c r="AD25" s="168">
        <v>110</v>
      </c>
      <c r="AE25" s="169">
        <f t="shared" si="8"/>
        <v>438</v>
      </c>
      <c r="AF25" s="173">
        <v>462</v>
      </c>
      <c r="AG25" s="168"/>
      <c r="AH25" s="168"/>
      <c r="AI25" s="168"/>
      <c r="AJ25" s="168"/>
      <c r="AK25" s="170"/>
      <c r="AL25" s="170">
        <v>13.2</v>
      </c>
      <c r="AM25" s="168"/>
      <c r="AN25" s="170"/>
      <c r="AO25" s="168"/>
      <c r="AP25" s="168"/>
      <c r="AQ25" s="168">
        <v>0</v>
      </c>
      <c r="AR25" s="171"/>
      <c r="AS25" s="159"/>
    </row>
    <row r="26" spans="1:45" x14ac:dyDescent="0.3">
      <c r="A26" s="304"/>
      <c r="B26" s="304"/>
      <c r="C26" s="296"/>
      <c r="D26" s="18" t="s">
        <v>359</v>
      </c>
      <c r="E26" s="76">
        <v>9810592000072</v>
      </c>
      <c r="F26" s="11">
        <v>0.5</v>
      </c>
      <c r="G26" s="8" t="s">
        <v>8</v>
      </c>
      <c r="H26" s="26" t="s">
        <v>81</v>
      </c>
      <c r="I26" s="26" t="s">
        <v>81</v>
      </c>
      <c r="J26" s="26"/>
      <c r="K26" s="67">
        <v>7000</v>
      </c>
      <c r="L26" s="131">
        <f t="shared" si="4"/>
        <v>1820</v>
      </c>
      <c r="M26" s="157">
        <f t="shared" si="0"/>
        <v>8.8571428571428565E-2</v>
      </c>
      <c r="N26" s="131">
        <f t="shared" si="5"/>
        <v>4200</v>
      </c>
      <c r="O26" s="132">
        <f t="shared" si="1"/>
        <v>0.42857142857142855</v>
      </c>
      <c r="P26" s="73">
        <v>1200</v>
      </c>
      <c r="Q26" s="56">
        <f t="shared" si="6"/>
        <v>177</v>
      </c>
      <c r="R26" s="48">
        <f t="shared" si="2"/>
        <v>1023</v>
      </c>
      <c r="S26" s="52">
        <v>460</v>
      </c>
      <c r="T26" s="52">
        <v>110</v>
      </c>
      <c r="U26" s="52">
        <f t="shared" si="3"/>
        <v>220</v>
      </c>
      <c r="V26" s="52">
        <v>440</v>
      </c>
      <c r="W26" s="52">
        <v>0</v>
      </c>
      <c r="X26" s="53">
        <v>13</v>
      </c>
      <c r="Y26" s="43" t="s">
        <v>107</v>
      </c>
      <c r="AC26" s="168">
        <f t="shared" si="7"/>
        <v>1023.2</v>
      </c>
      <c r="AD26" s="168">
        <v>110</v>
      </c>
      <c r="AE26" s="169">
        <f t="shared" si="8"/>
        <v>438</v>
      </c>
      <c r="AF26" s="173">
        <v>462</v>
      </c>
      <c r="AG26" s="168"/>
      <c r="AH26" s="168"/>
      <c r="AI26" s="168"/>
      <c r="AJ26" s="168"/>
      <c r="AK26" s="170"/>
      <c r="AL26" s="170">
        <v>13.2</v>
      </c>
      <c r="AM26" s="168"/>
      <c r="AN26" s="170"/>
      <c r="AO26" s="168"/>
      <c r="AP26" s="168"/>
      <c r="AQ26" s="168">
        <v>0</v>
      </c>
      <c r="AR26" s="171"/>
      <c r="AS26" s="159"/>
    </row>
    <row r="27" spans="1:45" x14ac:dyDescent="0.3">
      <c r="A27" s="304"/>
      <c r="B27" s="304"/>
      <c r="C27" s="296"/>
      <c r="D27" s="18" t="s">
        <v>360</v>
      </c>
      <c r="E27" s="76">
        <v>9810592000074</v>
      </c>
      <c r="F27" s="11">
        <v>0.5</v>
      </c>
      <c r="G27" s="8" t="s">
        <v>8</v>
      </c>
      <c r="H27" s="26" t="s">
        <v>81</v>
      </c>
      <c r="I27" s="26" t="s">
        <v>81</v>
      </c>
      <c r="J27" s="26"/>
      <c r="K27" s="67">
        <v>7000</v>
      </c>
      <c r="L27" s="131">
        <f t="shared" si="4"/>
        <v>1820</v>
      </c>
      <c r="M27" s="157">
        <f t="shared" si="0"/>
        <v>8.8571428571428565E-2</v>
      </c>
      <c r="N27" s="131">
        <f t="shared" si="5"/>
        <v>4200</v>
      </c>
      <c r="O27" s="132">
        <f t="shared" si="1"/>
        <v>0.42857142857142855</v>
      </c>
      <c r="P27" s="73">
        <v>1200</v>
      </c>
      <c r="Q27" s="56">
        <f t="shared" si="6"/>
        <v>177</v>
      </c>
      <c r="R27" s="48">
        <f t="shared" si="2"/>
        <v>1023</v>
      </c>
      <c r="S27" s="52">
        <v>460</v>
      </c>
      <c r="T27" s="52">
        <v>110</v>
      </c>
      <c r="U27" s="52">
        <f t="shared" si="3"/>
        <v>220</v>
      </c>
      <c r="V27" s="52">
        <v>440</v>
      </c>
      <c r="W27" s="52">
        <v>0</v>
      </c>
      <c r="X27" s="53">
        <v>13</v>
      </c>
      <c r="Y27" s="43" t="s">
        <v>107</v>
      </c>
      <c r="AC27" s="168">
        <f t="shared" si="7"/>
        <v>1023.2</v>
      </c>
      <c r="AD27" s="168">
        <v>110</v>
      </c>
      <c r="AE27" s="169">
        <f t="shared" si="8"/>
        <v>438</v>
      </c>
      <c r="AF27" s="173">
        <v>462</v>
      </c>
      <c r="AG27" s="168"/>
      <c r="AH27" s="168"/>
      <c r="AI27" s="168"/>
      <c r="AJ27" s="168"/>
      <c r="AK27" s="170"/>
      <c r="AL27" s="170">
        <v>13.2</v>
      </c>
      <c r="AM27" s="168"/>
      <c r="AN27" s="170"/>
      <c r="AO27" s="168"/>
      <c r="AP27" s="168"/>
      <c r="AQ27" s="168">
        <v>0</v>
      </c>
      <c r="AR27" s="171"/>
      <c r="AS27" s="159"/>
    </row>
    <row r="28" spans="1:45" x14ac:dyDescent="0.3">
      <c r="A28" s="304"/>
      <c r="B28" s="304"/>
      <c r="C28" s="296"/>
      <c r="D28" s="18" t="s">
        <v>361</v>
      </c>
      <c r="E28" s="76">
        <v>9810592000073</v>
      </c>
      <c r="F28" s="11">
        <v>0.5</v>
      </c>
      <c r="G28" s="8" t="s">
        <v>8</v>
      </c>
      <c r="H28" s="26" t="s">
        <v>81</v>
      </c>
      <c r="I28" s="26" t="s">
        <v>81</v>
      </c>
      <c r="J28" s="26"/>
      <c r="K28" s="67">
        <v>7000</v>
      </c>
      <c r="L28" s="131">
        <f t="shared" si="4"/>
        <v>1820</v>
      </c>
      <c r="M28" s="157">
        <f t="shared" si="0"/>
        <v>8.8571428571428565E-2</v>
      </c>
      <c r="N28" s="131">
        <f t="shared" si="5"/>
        <v>4200</v>
      </c>
      <c r="O28" s="132">
        <f t="shared" si="1"/>
        <v>0.42857142857142855</v>
      </c>
      <c r="P28" s="73">
        <v>1200</v>
      </c>
      <c r="Q28" s="56">
        <f t="shared" si="6"/>
        <v>177</v>
      </c>
      <c r="R28" s="48">
        <f t="shared" si="2"/>
        <v>1023</v>
      </c>
      <c r="S28" s="52">
        <v>460</v>
      </c>
      <c r="T28" s="52">
        <v>110</v>
      </c>
      <c r="U28" s="52">
        <f t="shared" si="3"/>
        <v>220</v>
      </c>
      <c r="V28" s="52">
        <v>440</v>
      </c>
      <c r="W28" s="52">
        <v>0</v>
      </c>
      <c r="X28" s="53">
        <v>13</v>
      </c>
      <c r="Y28" s="43" t="s">
        <v>107</v>
      </c>
      <c r="AC28" s="168">
        <f t="shared" si="7"/>
        <v>1023.2</v>
      </c>
      <c r="AD28" s="168">
        <v>110</v>
      </c>
      <c r="AE28" s="169">
        <f t="shared" si="8"/>
        <v>438</v>
      </c>
      <c r="AF28" s="173">
        <v>462</v>
      </c>
      <c r="AG28" s="168"/>
      <c r="AH28" s="168"/>
      <c r="AI28" s="168"/>
      <c r="AJ28" s="168"/>
      <c r="AK28" s="170"/>
      <c r="AL28" s="170">
        <v>13.2</v>
      </c>
      <c r="AM28" s="168"/>
      <c r="AN28" s="170"/>
      <c r="AO28" s="168"/>
      <c r="AP28" s="168"/>
      <c r="AQ28" s="168">
        <v>0</v>
      </c>
      <c r="AR28" s="171"/>
      <c r="AS28" s="159"/>
    </row>
    <row r="29" spans="1:45" x14ac:dyDescent="0.3">
      <c r="A29" s="304"/>
      <c r="B29" s="304"/>
      <c r="C29" s="296"/>
      <c r="D29" s="18" t="s">
        <v>362</v>
      </c>
      <c r="E29" s="76">
        <v>9810592000071</v>
      </c>
      <c r="F29" s="11">
        <v>0.5</v>
      </c>
      <c r="G29" s="8" t="s">
        <v>8</v>
      </c>
      <c r="H29" s="26" t="s">
        <v>81</v>
      </c>
      <c r="I29" s="26" t="s">
        <v>81</v>
      </c>
      <c r="J29" s="26"/>
      <c r="K29" s="67">
        <v>7000</v>
      </c>
      <c r="L29" s="131">
        <f t="shared" si="4"/>
        <v>1820</v>
      </c>
      <c r="M29" s="157">
        <f t="shared" si="0"/>
        <v>8.8571428571428565E-2</v>
      </c>
      <c r="N29" s="131">
        <f t="shared" si="5"/>
        <v>4200</v>
      </c>
      <c r="O29" s="132">
        <f t="shared" si="1"/>
        <v>0.42857142857142855</v>
      </c>
      <c r="P29" s="73">
        <v>1200</v>
      </c>
      <c r="Q29" s="56">
        <f t="shared" si="6"/>
        <v>177</v>
      </c>
      <c r="R29" s="48">
        <f t="shared" si="2"/>
        <v>1023</v>
      </c>
      <c r="S29" s="52">
        <v>460</v>
      </c>
      <c r="T29" s="52">
        <v>110</v>
      </c>
      <c r="U29" s="52">
        <f t="shared" si="3"/>
        <v>220</v>
      </c>
      <c r="V29" s="52">
        <v>440</v>
      </c>
      <c r="W29" s="52">
        <v>0</v>
      </c>
      <c r="X29" s="53">
        <v>13</v>
      </c>
      <c r="Y29" s="43" t="s">
        <v>107</v>
      </c>
      <c r="AC29" s="168">
        <f t="shared" si="7"/>
        <v>1023.2</v>
      </c>
      <c r="AD29" s="168">
        <v>110</v>
      </c>
      <c r="AE29" s="169">
        <f t="shared" si="8"/>
        <v>438</v>
      </c>
      <c r="AF29" s="173">
        <v>462</v>
      </c>
      <c r="AG29" s="168"/>
      <c r="AH29" s="168"/>
      <c r="AI29" s="168"/>
      <c r="AJ29" s="168"/>
      <c r="AK29" s="170"/>
      <c r="AL29" s="170">
        <v>13.2</v>
      </c>
      <c r="AM29" s="168"/>
      <c r="AN29" s="170"/>
      <c r="AO29" s="168"/>
      <c r="AP29" s="168"/>
      <c r="AQ29" s="168">
        <v>0</v>
      </c>
      <c r="AR29" s="171"/>
      <c r="AS29" s="159"/>
    </row>
    <row r="30" spans="1:45" hidden="1" x14ac:dyDescent="0.3">
      <c r="A30" s="304"/>
      <c r="B30" s="304"/>
      <c r="C30" s="295" t="s">
        <v>84</v>
      </c>
      <c r="D30" s="7" t="s">
        <v>363</v>
      </c>
      <c r="E30" s="76">
        <v>9810592000094</v>
      </c>
      <c r="F30" s="16">
        <v>8</v>
      </c>
      <c r="G30" s="8" t="s">
        <v>8</v>
      </c>
      <c r="H30" s="26" t="s">
        <v>96</v>
      </c>
      <c r="I30" s="26" t="s">
        <v>18</v>
      </c>
      <c r="J30" s="26" t="s">
        <v>77</v>
      </c>
      <c r="K30" s="67">
        <v>10000</v>
      </c>
      <c r="L30" s="131">
        <f t="shared" si="4"/>
        <v>2600</v>
      </c>
      <c r="M30" s="157">
        <f t="shared" si="0"/>
        <v>0.1</v>
      </c>
      <c r="N30" s="131">
        <f t="shared" si="5"/>
        <v>6000</v>
      </c>
      <c r="O30" s="132">
        <f t="shared" si="1"/>
        <v>0.44</v>
      </c>
      <c r="P30" s="73">
        <v>1600</v>
      </c>
      <c r="Q30" s="56">
        <f t="shared" si="6"/>
        <v>161</v>
      </c>
      <c r="R30" s="48">
        <f t="shared" si="2"/>
        <v>1439</v>
      </c>
      <c r="S30" s="52">
        <v>560</v>
      </c>
      <c r="T30" s="52">
        <v>276</v>
      </c>
      <c r="U30" s="52">
        <f t="shared" si="3"/>
        <v>34.5</v>
      </c>
      <c r="V30" s="52">
        <v>473</v>
      </c>
      <c r="W30" s="52">
        <v>130</v>
      </c>
      <c r="X30" s="52">
        <v>0</v>
      </c>
      <c r="Y30" s="41" t="s">
        <v>119</v>
      </c>
    </row>
    <row r="31" spans="1:45" hidden="1" x14ac:dyDescent="0.3">
      <c r="A31" s="304"/>
      <c r="B31" s="304"/>
      <c r="C31" s="295"/>
      <c r="D31" s="7" t="s">
        <v>364</v>
      </c>
      <c r="E31" s="76">
        <v>9810592000093</v>
      </c>
      <c r="F31" s="16">
        <v>8</v>
      </c>
      <c r="G31" s="8" t="s">
        <v>8</v>
      </c>
      <c r="H31" s="26" t="s">
        <v>96</v>
      </c>
      <c r="I31" s="26" t="s">
        <v>18</v>
      </c>
      <c r="J31" s="26" t="s">
        <v>77</v>
      </c>
      <c r="K31" s="67">
        <v>10000</v>
      </c>
      <c r="L31" s="131">
        <f t="shared" si="4"/>
        <v>2600</v>
      </c>
      <c r="M31" s="157">
        <f t="shared" si="0"/>
        <v>0.1</v>
      </c>
      <c r="N31" s="131">
        <f t="shared" si="5"/>
        <v>6000</v>
      </c>
      <c r="O31" s="132">
        <f t="shared" si="1"/>
        <v>0.44</v>
      </c>
      <c r="P31" s="73">
        <v>1600</v>
      </c>
      <c r="Q31" s="56">
        <f t="shared" si="6"/>
        <v>161</v>
      </c>
      <c r="R31" s="48">
        <f t="shared" si="2"/>
        <v>1439</v>
      </c>
      <c r="S31" s="52">
        <v>560</v>
      </c>
      <c r="T31" s="52">
        <v>276</v>
      </c>
      <c r="U31" s="52">
        <f t="shared" si="3"/>
        <v>34.5</v>
      </c>
      <c r="V31" s="52">
        <v>473</v>
      </c>
      <c r="W31" s="52">
        <v>130</v>
      </c>
      <c r="X31" s="52">
        <v>0</v>
      </c>
      <c r="Y31" s="41" t="s">
        <v>119</v>
      </c>
    </row>
    <row r="32" spans="1:45" hidden="1" x14ac:dyDescent="0.3">
      <c r="A32" s="304"/>
      <c r="B32" s="304"/>
      <c r="C32" s="295"/>
      <c r="D32" s="7" t="s">
        <v>365</v>
      </c>
      <c r="E32" s="76">
        <v>9810592000092</v>
      </c>
      <c r="F32" s="16">
        <v>8</v>
      </c>
      <c r="G32" s="8" t="s">
        <v>8</v>
      </c>
      <c r="H32" s="26" t="s">
        <v>96</v>
      </c>
      <c r="I32" s="26" t="s">
        <v>18</v>
      </c>
      <c r="J32" s="26" t="s">
        <v>77</v>
      </c>
      <c r="K32" s="67">
        <v>10000</v>
      </c>
      <c r="L32" s="131">
        <f t="shared" si="4"/>
        <v>2600</v>
      </c>
      <c r="M32" s="157">
        <f t="shared" si="0"/>
        <v>0.1</v>
      </c>
      <c r="N32" s="131">
        <f t="shared" si="5"/>
        <v>6000</v>
      </c>
      <c r="O32" s="132">
        <f t="shared" si="1"/>
        <v>0.44</v>
      </c>
      <c r="P32" s="73">
        <v>1600</v>
      </c>
      <c r="Q32" s="56">
        <f t="shared" si="6"/>
        <v>161</v>
      </c>
      <c r="R32" s="48">
        <f t="shared" si="2"/>
        <v>1439</v>
      </c>
      <c r="S32" s="52">
        <v>560</v>
      </c>
      <c r="T32" s="52">
        <v>276</v>
      </c>
      <c r="U32" s="52">
        <f t="shared" si="3"/>
        <v>34.5</v>
      </c>
      <c r="V32" s="52">
        <v>473</v>
      </c>
      <c r="W32" s="52">
        <v>130</v>
      </c>
      <c r="X32" s="52">
        <v>0</v>
      </c>
      <c r="Y32" s="41" t="s">
        <v>119</v>
      </c>
    </row>
    <row r="33" spans="1:45" hidden="1" x14ac:dyDescent="0.3">
      <c r="A33" s="304"/>
      <c r="B33" s="304"/>
      <c r="C33" s="295"/>
      <c r="D33" s="7" t="s">
        <v>366</v>
      </c>
      <c r="E33" s="76">
        <v>9810592000091</v>
      </c>
      <c r="F33" s="16">
        <v>8</v>
      </c>
      <c r="G33" s="8" t="s">
        <v>8</v>
      </c>
      <c r="H33" s="26" t="s">
        <v>96</v>
      </c>
      <c r="I33" s="26" t="s">
        <v>18</v>
      </c>
      <c r="J33" s="26" t="s">
        <v>77</v>
      </c>
      <c r="K33" s="67">
        <v>10000</v>
      </c>
      <c r="L33" s="131">
        <f t="shared" si="4"/>
        <v>2600</v>
      </c>
      <c r="M33" s="157">
        <f t="shared" si="0"/>
        <v>0.1</v>
      </c>
      <c r="N33" s="131">
        <f t="shared" si="5"/>
        <v>6000</v>
      </c>
      <c r="O33" s="132">
        <f t="shared" si="1"/>
        <v>0.44</v>
      </c>
      <c r="P33" s="73">
        <v>1600</v>
      </c>
      <c r="Q33" s="56">
        <f t="shared" si="6"/>
        <v>161</v>
      </c>
      <c r="R33" s="48">
        <f t="shared" si="2"/>
        <v>1439</v>
      </c>
      <c r="S33" s="52">
        <v>560</v>
      </c>
      <c r="T33" s="52">
        <v>276</v>
      </c>
      <c r="U33" s="52">
        <f t="shared" si="3"/>
        <v>34.5</v>
      </c>
      <c r="V33" s="52">
        <v>473</v>
      </c>
      <c r="W33" s="52">
        <v>130</v>
      </c>
      <c r="X33" s="52">
        <v>0</v>
      </c>
      <c r="Y33" s="41" t="s">
        <v>119</v>
      </c>
    </row>
    <row r="34" spans="1:45" ht="10.9" hidden="1" customHeight="1" x14ac:dyDescent="0.3">
      <c r="A34" s="304"/>
      <c r="B34" s="304"/>
      <c r="C34" s="306" t="s">
        <v>200</v>
      </c>
      <c r="D34" s="7" t="s">
        <v>367</v>
      </c>
      <c r="E34" s="76">
        <v>9810592000022</v>
      </c>
      <c r="F34" s="16">
        <v>3</v>
      </c>
      <c r="G34" s="8" t="s">
        <v>8</v>
      </c>
      <c r="H34" s="26" t="s">
        <v>166</v>
      </c>
      <c r="I34" s="26" t="s">
        <v>161</v>
      </c>
      <c r="J34" s="26"/>
      <c r="K34" s="67">
        <v>6000</v>
      </c>
      <c r="L34" s="131">
        <f t="shared" si="4"/>
        <v>1560</v>
      </c>
      <c r="M34" s="157">
        <f t="shared" si="0"/>
        <v>9.3333333333333338E-2</v>
      </c>
      <c r="N34" s="131">
        <f t="shared" si="5"/>
        <v>3600</v>
      </c>
      <c r="O34" s="132">
        <f t="shared" si="1"/>
        <v>0.43333333333333335</v>
      </c>
      <c r="P34" s="73">
        <v>1000</v>
      </c>
      <c r="Q34" s="56">
        <f t="shared" si="6"/>
        <v>43</v>
      </c>
      <c r="R34" s="48">
        <f t="shared" si="2"/>
        <v>957</v>
      </c>
      <c r="S34" s="52">
        <v>310</v>
      </c>
      <c r="T34" s="52">
        <v>207</v>
      </c>
      <c r="U34" s="52">
        <f t="shared" si="3"/>
        <v>69</v>
      </c>
      <c r="V34" s="52">
        <v>440</v>
      </c>
      <c r="W34" s="52">
        <v>0</v>
      </c>
      <c r="X34" s="52">
        <v>0</v>
      </c>
      <c r="Y34" s="42" t="s">
        <v>125</v>
      </c>
    </row>
    <row r="35" spans="1:45" hidden="1" x14ac:dyDescent="0.3">
      <c r="A35" s="304"/>
      <c r="B35" s="304"/>
      <c r="C35" s="307"/>
      <c r="D35" s="7" t="s">
        <v>368</v>
      </c>
      <c r="E35" s="76">
        <v>9810592000019</v>
      </c>
      <c r="F35" s="9">
        <v>2.5</v>
      </c>
      <c r="G35" s="8" t="s">
        <v>8</v>
      </c>
      <c r="H35" s="26" t="s">
        <v>166</v>
      </c>
      <c r="I35" s="26" t="s">
        <v>161</v>
      </c>
      <c r="J35" s="26" t="s">
        <v>79</v>
      </c>
      <c r="K35" s="67">
        <v>6000</v>
      </c>
      <c r="L35" s="131">
        <f t="shared" si="4"/>
        <v>1560</v>
      </c>
      <c r="M35" s="157">
        <f t="shared" si="0"/>
        <v>9.3333333333333338E-2</v>
      </c>
      <c r="N35" s="131">
        <f t="shared" si="5"/>
        <v>3600</v>
      </c>
      <c r="O35" s="132">
        <f t="shared" si="1"/>
        <v>0.43333333333333335</v>
      </c>
      <c r="P35" s="73">
        <v>1000</v>
      </c>
      <c r="Q35" s="56">
        <f t="shared" si="6"/>
        <v>208</v>
      </c>
      <c r="R35" s="48">
        <f t="shared" si="2"/>
        <v>792</v>
      </c>
      <c r="S35" s="118">
        <v>60</v>
      </c>
      <c r="T35" s="118">
        <v>105</v>
      </c>
      <c r="U35" s="52">
        <f t="shared" si="3"/>
        <v>42</v>
      </c>
      <c r="V35" s="118">
        <v>440</v>
      </c>
      <c r="W35" s="52">
        <v>187</v>
      </c>
      <c r="X35" s="52">
        <v>0</v>
      </c>
      <c r="Y35" s="42" t="s">
        <v>125</v>
      </c>
    </row>
    <row r="36" spans="1:45" hidden="1" x14ac:dyDescent="0.3">
      <c r="A36" s="304"/>
      <c r="B36" s="304"/>
      <c r="C36" s="307"/>
      <c r="D36" s="7" t="s">
        <v>369</v>
      </c>
      <c r="E36" s="76">
        <v>9810592000021</v>
      </c>
      <c r="F36" s="9">
        <v>2.5</v>
      </c>
      <c r="G36" s="8" t="s">
        <v>8</v>
      </c>
      <c r="H36" s="26" t="s">
        <v>166</v>
      </c>
      <c r="I36" s="26" t="s">
        <v>161</v>
      </c>
      <c r="J36" s="26" t="s">
        <v>79</v>
      </c>
      <c r="K36" s="67">
        <v>6000</v>
      </c>
      <c r="L36" s="131">
        <f t="shared" si="4"/>
        <v>1560</v>
      </c>
      <c r="M36" s="157">
        <f t="shared" si="0"/>
        <v>9.3333333333333338E-2</v>
      </c>
      <c r="N36" s="131">
        <f t="shared" si="5"/>
        <v>3600</v>
      </c>
      <c r="O36" s="132">
        <f t="shared" si="1"/>
        <v>0.43333333333333335</v>
      </c>
      <c r="P36" s="73">
        <v>1000</v>
      </c>
      <c r="Q36" s="56">
        <f t="shared" si="6"/>
        <v>208</v>
      </c>
      <c r="R36" s="48">
        <f t="shared" si="2"/>
        <v>792</v>
      </c>
      <c r="S36" s="118">
        <v>60</v>
      </c>
      <c r="T36" s="118">
        <v>105</v>
      </c>
      <c r="U36" s="52">
        <f t="shared" si="3"/>
        <v>42</v>
      </c>
      <c r="V36" s="118">
        <v>440</v>
      </c>
      <c r="W36" s="52">
        <v>187</v>
      </c>
      <c r="X36" s="52">
        <v>0</v>
      </c>
      <c r="Y36" s="42" t="s">
        <v>125</v>
      </c>
    </row>
    <row r="37" spans="1:45" hidden="1" x14ac:dyDescent="0.3">
      <c r="A37" s="304"/>
      <c r="B37" s="304"/>
      <c r="C37" s="307"/>
      <c r="D37" s="7" t="s">
        <v>370</v>
      </c>
      <c r="E37" s="76">
        <v>9810592000016</v>
      </c>
      <c r="F37" s="9">
        <v>2.5</v>
      </c>
      <c r="G37" s="8" t="s">
        <v>8</v>
      </c>
      <c r="H37" s="26" t="s">
        <v>167</v>
      </c>
      <c r="I37" s="26" t="s">
        <v>161</v>
      </c>
      <c r="J37" s="26" t="s">
        <v>79</v>
      </c>
      <c r="K37" s="67">
        <v>6000</v>
      </c>
      <c r="L37" s="131">
        <f t="shared" si="4"/>
        <v>1560</v>
      </c>
      <c r="M37" s="157">
        <f t="shared" si="0"/>
        <v>9.3333333333333338E-2</v>
      </c>
      <c r="N37" s="131">
        <f t="shared" si="5"/>
        <v>3600</v>
      </c>
      <c r="O37" s="132">
        <f t="shared" si="1"/>
        <v>0.43333333333333335</v>
      </c>
      <c r="P37" s="73">
        <v>1000</v>
      </c>
      <c r="Q37" s="56">
        <f t="shared" si="6"/>
        <v>208</v>
      </c>
      <c r="R37" s="48">
        <f t="shared" si="2"/>
        <v>792</v>
      </c>
      <c r="S37" s="118">
        <v>60</v>
      </c>
      <c r="T37" s="118">
        <v>105</v>
      </c>
      <c r="U37" s="52">
        <f t="shared" si="3"/>
        <v>42</v>
      </c>
      <c r="V37" s="118">
        <v>440</v>
      </c>
      <c r="W37" s="52">
        <v>187</v>
      </c>
      <c r="X37" s="52">
        <v>0</v>
      </c>
      <c r="Y37" s="42" t="s">
        <v>125</v>
      </c>
    </row>
    <row r="38" spans="1:45" hidden="1" x14ac:dyDescent="0.3">
      <c r="A38" s="304"/>
      <c r="B38" s="304"/>
      <c r="C38" s="308"/>
      <c r="D38" s="7" t="s">
        <v>371</v>
      </c>
      <c r="E38" s="76">
        <v>9810592000020</v>
      </c>
      <c r="F38" s="9">
        <v>2.5</v>
      </c>
      <c r="G38" s="8" t="s">
        <v>8</v>
      </c>
      <c r="H38" s="26" t="s">
        <v>167</v>
      </c>
      <c r="I38" s="26" t="s">
        <v>161</v>
      </c>
      <c r="J38" s="26" t="s">
        <v>79</v>
      </c>
      <c r="K38" s="67">
        <v>6000</v>
      </c>
      <c r="L38" s="131">
        <f t="shared" si="4"/>
        <v>1560</v>
      </c>
      <c r="M38" s="157">
        <f t="shared" si="0"/>
        <v>9.3333333333333338E-2</v>
      </c>
      <c r="N38" s="131">
        <f t="shared" si="5"/>
        <v>3600</v>
      </c>
      <c r="O38" s="132">
        <f t="shared" si="1"/>
        <v>0.43333333333333335</v>
      </c>
      <c r="P38" s="73">
        <v>1000</v>
      </c>
      <c r="Q38" s="56">
        <f t="shared" si="6"/>
        <v>208</v>
      </c>
      <c r="R38" s="48">
        <f t="shared" si="2"/>
        <v>792</v>
      </c>
      <c r="S38" s="118">
        <v>60</v>
      </c>
      <c r="T38" s="118">
        <v>105</v>
      </c>
      <c r="U38" s="52">
        <f t="shared" si="3"/>
        <v>42</v>
      </c>
      <c r="V38" s="118">
        <v>440</v>
      </c>
      <c r="W38" s="52">
        <v>187</v>
      </c>
      <c r="X38" s="52">
        <v>0</v>
      </c>
      <c r="Y38" s="42" t="s">
        <v>125</v>
      </c>
    </row>
    <row r="39" spans="1:45" x14ac:dyDescent="0.3">
      <c r="A39" s="304"/>
      <c r="B39" s="309" t="s">
        <v>19</v>
      </c>
      <c r="C39" s="296" t="s">
        <v>101</v>
      </c>
      <c r="D39" s="20" t="s">
        <v>372</v>
      </c>
      <c r="E39" s="76">
        <v>9810592000041</v>
      </c>
      <c r="F39" s="11">
        <v>3.5</v>
      </c>
      <c r="G39" s="8" t="s">
        <v>8</v>
      </c>
      <c r="H39" s="26" t="s">
        <v>21</v>
      </c>
      <c r="I39" s="26" t="s">
        <v>20</v>
      </c>
      <c r="J39" s="26" t="s">
        <v>77</v>
      </c>
      <c r="K39" s="67">
        <v>10000</v>
      </c>
      <c r="L39" s="131">
        <f t="shared" si="4"/>
        <v>2600</v>
      </c>
      <c r="M39" s="157">
        <f t="shared" si="0"/>
        <v>0.08</v>
      </c>
      <c r="N39" s="131">
        <f t="shared" si="5"/>
        <v>6000</v>
      </c>
      <c r="O39" s="132">
        <f t="shared" si="1"/>
        <v>0.42</v>
      </c>
      <c r="P39" s="73">
        <v>1800</v>
      </c>
      <c r="Q39" s="56">
        <f t="shared" si="6"/>
        <v>133</v>
      </c>
      <c r="R39" s="48">
        <f t="shared" si="2"/>
        <v>1667</v>
      </c>
      <c r="S39" s="52">
        <v>473</v>
      </c>
      <c r="T39" s="52">
        <v>236</v>
      </c>
      <c r="U39" s="52">
        <f t="shared" si="3"/>
        <v>67.428571428571431</v>
      </c>
      <c r="V39" s="53">
        <v>806</v>
      </c>
      <c r="W39" s="52">
        <v>130</v>
      </c>
      <c r="X39" s="68">
        <v>22</v>
      </c>
      <c r="Y39" s="41" t="s">
        <v>120</v>
      </c>
      <c r="AA39" s="40" t="s">
        <v>19</v>
      </c>
      <c r="AB39" s="40">
        <v>32</v>
      </c>
      <c r="AC39" s="168">
        <f t="shared" ref="AC39:AC48" si="9">SUM(AD39:AR39)</f>
        <v>1667</v>
      </c>
      <c r="AD39" s="168">
        <v>236</v>
      </c>
      <c r="AE39" s="169">
        <v>473</v>
      </c>
      <c r="AF39" s="168">
        <v>806</v>
      </c>
      <c r="AG39" s="168">
        <v>0</v>
      </c>
      <c r="AH39" s="168"/>
      <c r="AI39" s="168"/>
      <c r="AJ39" s="168"/>
      <c r="AK39" s="170">
        <v>130</v>
      </c>
      <c r="AL39" s="170"/>
      <c r="AM39" s="169">
        <v>22</v>
      </c>
      <c r="AN39" s="170"/>
      <c r="AO39" s="168"/>
      <c r="AP39" s="168"/>
      <c r="AQ39" s="168">
        <v>0</v>
      </c>
      <c r="AR39" s="171"/>
      <c r="AS39" s="159"/>
    </row>
    <row r="40" spans="1:45" x14ac:dyDescent="0.3">
      <c r="A40" s="304"/>
      <c r="B40" s="310"/>
      <c r="C40" s="296"/>
      <c r="D40" s="20" t="s">
        <v>373</v>
      </c>
      <c r="E40" s="76">
        <v>9810592000039</v>
      </c>
      <c r="F40" s="11">
        <v>3.5</v>
      </c>
      <c r="G40" s="8" t="s">
        <v>8</v>
      </c>
      <c r="H40" s="26" t="s">
        <v>81</v>
      </c>
      <c r="I40" s="26" t="s">
        <v>161</v>
      </c>
      <c r="J40" s="26" t="s">
        <v>77</v>
      </c>
      <c r="K40" s="67">
        <v>10000</v>
      </c>
      <c r="L40" s="131">
        <f t="shared" si="4"/>
        <v>2600</v>
      </c>
      <c r="M40" s="157">
        <f t="shared" si="0"/>
        <v>0.08</v>
      </c>
      <c r="N40" s="131">
        <f t="shared" si="5"/>
        <v>6000</v>
      </c>
      <c r="O40" s="132">
        <f t="shared" si="1"/>
        <v>0.42</v>
      </c>
      <c r="P40" s="73">
        <v>1800</v>
      </c>
      <c r="Q40" s="56">
        <f t="shared" si="6"/>
        <v>-57</v>
      </c>
      <c r="R40" s="48">
        <f t="shared" si="2"/>
        <v>1857</v>
      </c>
      <c r="S40" s="52">
        <v>1445</v>
      </c>
      <c r="T40" s="52">
        <v>260</v>
      </c>
      <c r="U40" s="52">
        <f t="shared" si="3"/>
        <v>74.285714285714292</v>
      </c>
      <c r="V40" s="53"/>
      <c r="W40" s="52">
        <v>130</v>
      </c>
      <c r="X40" s="68">
        <v>22</v>
      </c>
      <c r="Y40" s="41" t="s">
        <v>185</v>
      </c>
      <c r="AC40" s="174">
        <f t="shared" si="9"/>
        <v>152</v>
      </c>
      <c r="AD40" s="174"/>
      <c r="AE40" s="169"/>
      <c r="AF40" s="168"/>
      <c r="AG40" s="168">
        <v>0</v>
      </c>
      <c r="AH40" s="168"/>
      <c r="AI40" s="168"/>
      <c r="AJ40" s="168"/>
      <c r="AK40" s="170">
        <v>130</v>
      </c>
      <c r="AL40" s="170"/>
      <c r="AM40" s="169">
        <v>22</v>
      </c>
      <c r="AN40" s="170"/>
      <c r="AO40" s="168"/>
      <c r="AP40" s="168"/>
      <c r="AQ40" s="168">
        <v>0</v>
      </c>
      <c r="AR40" s="171"/>
      <c r="AS40" s="159"/>
    </row>
    <row r="41" spans="1:45" x14ac:dyDescent="0.3">
      <c r="A41" s="304"/>
      <c r="B41" s="310"/>
      <c r="C41" s="296"/>
      <c r="D41" s="20" t="s">
        <v>374</v>
      </c>
      <c r="E41" s="76">
        <v>9810592000037</v>
      </c>
      <c r="F41" s="11">
        <v>3.5</v>
      </c>
      <c r="G41" s="8" t="s">
        <v>8</v>
      </c>
      <c r="H41" s="26" t="s">
        <v>81</v>
      </c>
      <c r="I41" s="26" t="s">
        <v>161</v>
      </c>
      <c r="J41" s="26" t="s">
        <v>77</v>
      </c>
      <c r="K41" s="67">
        <v>10000</v>
      </c>
      <c r="L41" s="131">
        <f t="shared" si="4"/>
        <v>2600</v>
      </c>
      <c r="M41" s="157">
        <f t="shared" si="0"/>
        <v>0.08</v>
      </c>
      <c r="N41" s="131">
        <f t="shared" si="5"/>
        <v>6000</v>
      </c>
      <c r="O41" s="132">
        <f t="shared" si="1"/>
        <v>0.42</v>
      </c>
      <c r="P41" s="73">
        <v>1800</v>
      </c>
      <c r="Q41" s="56">
        <f t="shared" si="6"/>
        <v>-57</v>
      </c>
      <c r="R41" s="48">
        <f t="shared" si="2"/>
        <v>1857</v>
      </c>
      <c r="S41" s="52">
        <v>1445</v>
      </c>
      <c r="T41" s="52">
        <v>260</v>
      </c>
      <c r="U41" s="52">
        <f t="shared" si="3"/>
        <v>74.285714285714292</v>
      </c>
      <c r="V41" s="53"/>
      <c r="W41" s="52">
        <v>130</v>
      </c>
      <c r="X41" s="68">
        <v>22</v>
      </c>
      <c r="Y41" s="41" t="s">
        <v>185</v>
      </c>
      <c r="AC41" s="174">
        <f t="shared" si="9"/>
        <v>152</v>
      </c>
      <c r="AD41" s="174"/>
      <c r="AE41" s="169"/>
      <c r="AF41" s="168"/>
      <c r="AG41" s="168">
        <v>0</v>
      </c>
      <c r="AH41" s="168"/>
      <c r="AI41" s="168"/>
      <c r="AJ41" s="168"/>
      <c r="AK41" s="170">
        <v>130</v>
      </c>
      <c r="AL41" s="170"/>
      <c r="AM41" s="169">
        <v>22</v>
      </c>
      <c r="AN41" s="170"/>
      <c r="AO41" s="168"/>
      <c r="AP41" s="168"/>
      <c r="AQ41" s="168">
        <v>0</v>
      </c>
      <c r="AR41" s="171"/>
      <c r="AS41" s="159"/>
    </row>
    <row r="42" spans="1:45" x14ac:dyDescent="0.3">
      <c r="A42" s="304"/>
      <c r="B42" s="310"/>
      <c r="C42" s="296"/>
      <c r="D42" s="20" t="s">
        <v>375</v>
      </c>
      <c r="E42" s="76">
        <v>9810592000036</v>
      </c>
      <c r="F42" s="11">
        <v>3.5</v>
      </c>
      <c r="G42" s="8" t="s">
        <v>8</v>
      </c>
      <c r="H42" s="26" t="s">
        <v>81</v>
      </c>
      <c r="I42" s="26" t="s">
        <v>161</v>
      </c>
      <c r="J42" s="26" t="s">
        <v>77</v>
      </c>
      <c r="K42" s="67">
        <v>10000</v>
      </c>
      <c r="L42" s="131">
        <f t="shared" si="4"/>
        <v>2600</v>
      </c>
      <c r="M42" s="157">
        <f t="shared" si="0"/>
        <v>0.08</v>
      </c>
      <c r="N42" s="131">
        <f t="shared" si="5"/>
        <v>6000</v>
      </c>
      <c r="O42" s="132">
        <f t="shared" si="1"/>
        <v>0.42</v>
      </c>
      <c r="P42" s="73">
        <v>1800</v>
      </c>
      <c r="Q42" s="56">
        <f t="shared" si="6"/>
        <v>-57</v>
      </c>
      <c r="R42" s="48">
        <f t="shared" si="2"/>
        <v>1857</v>
      </c>
      <c r="S42" s="52">
        <v>1445</v>
      </c>
      <c r="T42" s="52">
        <v>260</v>
      </c>
      <c r="U42" s="52">
        <f t="shared" si="3"/>
        <v>74.285714285714292</v>
      </c>
      <c r="V42" s="53"/>
      <c r="W42" s="52">
        <v>130</v>
      </c>
      <c r="X42" s="68">
        <v>22</v>
      </c>
      <c r="Y42" s="41" t="s">
        <v>185</v>
      </c>
      <c r="AC42" s="174">
        <f t="shared" si="9"/>
        <v>152</v>
      </c>
      <c r="AD42" s="174"/>
      <c r="AE42" s="169"/>
      <c r="AF42" s="168"/>
      <c r="AG42" s="168">
        <v>0</v>
      </c>
      <c r="AH42" s="168"/>
      <c r="AI42" s="168"/>
      <c r="AJ42" s="168"/>
      <c r="AK42" s="170">
        <v>130</v>
      </c>
      <c r="AL42" s="170"/>
      <c r="AM42" s="169">
        <v>22</v>
      </c>
      <c r="AN42" s="170"/>
      <c r="AO42" s="168"/>
      <c r="AP42" s="168"/>
      <c r="AQ42" s="168">
        <v>0</v>
      </c>
      <c r="AR42" s="171"/>
      <c r="AS42" s="159"/>
    </row>
    <row r="43" spans="1:45" x14ac:dyDescent="0.3">
      <c r="A43" s="304"/>
      <c r="B43" s="310"/>
      <c r="C43" s="296"/>
      <c r="D43" s="81" t="s">
        <v>376</v>
      </c>
      <c r="E43" s="76">
        <v>9810592000410</v>
      </c>
      <c r="F43" s="9">
        <v>3.5</v>
      </c>
      <c r="G43" s="8" t="s">
        <v>8</v>
      </c>
      <c r="H43" s="26" t="s">
        <v>21</v>
      </c>
      <c r="I43" s="26" t="s">
        <v>20</v>
      </c>
      <c r="J43" s="26" t="s">
        <v>80</v>
      </c>
      <c r="K43" s="67">
        <v>10000</v>
      </c>
      <c r="L43" s="131">
        <f t="shared" si="4"/>
        <v>2600</v>
      </c>
      <c r="M43" s="157">
        <f t="shared" si="0"/>
        <v>0.08</v>
      </c>
      <c r="N43" s="131">
        <f t="shared" si="5"/>
        <v>6000</v>
      </c>
      <c r="O43" s="132">
        <f t="shared" si="1"/>
        <v>0.42</v>
      </c>
      <c r="P43" s="73">
        <v>1800</v>
      </c>
      <c r="Q43" s="56">
        <f t="shared" si="6"/>
        <v>133</v>
      </c>
      <c r="R43" s="48">
        <f t="shared" si="2"/>
        <v>1667</v>
      </c>
      <c r="S43" s="52">
        <v>473</v>
      </c>
      <c r="T43" s="52">
        <v>236</v>
      </c>
      <c r="U43" s="52">
        <f t="shared" si="3"/>
        <v>67.428571428571431</v>
      </c>
      <c r="V43" s="53">
        <v>806</v>
      </c>
      <c r="W43" s="52">
        <v>130</v>
      </c>
      <c r="X43" s="68">
        <v>22</v>
      </c>
      <c r="Y43" s="41" t="s">
        <v>121</v>
      </c>
      <c r="AC43" s="168">
        <f t="shared" si="9"/>
        <v>1667</v>
      </c>
      <c r="AD43" s="168">
        <v>236</v>
      </c>
      <c r="AE43" s="169">
        <v>473</v>
      </c>
      <c r="AF43" s="168">
        <v>806</v>
      </c>
      <c r="AG43" s="168">
        <v>0</v>
      </c>
      <c r="AH43" s="168"/>
      <c r="AI43" s="168"/>
      <c r="AJ43" s="168"/>
      <c r="AK43" s="170">
        <v>130</v>
      </c>
      <c r="AL43" s="170"/>
      <c r="AM43" s="169">
        <v>22</v>
      </c>
      <c r="AN43" s="170"/>
      <c r="AO43" s="168"/>
      <c r="AP43" s="168"/>
      <c r="AQ43" s="168">
        <v>0</v>
      </c>
      <c r="AR43" s="171"/>
      <c r="AS43" s="159"/>
    </row>
    <row r="44" spans="1:45" x14ac:dyDescent="0.3">
      <c r="A44" s="304"/>
      <c r="B44" s="310"/>
      <c r="C44" s="296"/>
      <c r="D44" s="81" t="s">
        <v>377</v>
      </c>
      <c r="E44" s="76">
        <v>9810592000411</v>
      </c>
      <c r="F44" s="9">
        <v>3.5</v>
      </c>
      <c r="G44" s="8" t="s">
        <v>8</v>
      </c>
      <c r="H44" s="26" t="s">
        <v>21</v>
      </c>
      <c r="I44" s="26" t="s">
        <v>20</v>
      </c>
      <c r="J44" s="26" t="s">
        <v>80</v>
      </c>
      <c r="K44" s="67">
        <v>10000</v>
      </c>
      <c r="L44" s="131">
        <f t="shared" si="4"/>
        <v>2600</v>
      </c>
      <c r="M44" s="157">
        <f t="shared" si="0"/>
        <v>0.08</v>
      </c>
      <c r="N44" s="131">
        <f t="shared" si="5"/>
        <v>6000</v>
      </c>
      <c r="O44" s="132">
        <f t="shared" si="1"/>
        <v>0.42</v>
      </c>
      <c r="P44" s="73">
        <v>1800</v>
      </c>
      <c r="Q44" s="56">
        <f t="shared" si="6"/>
        <v>133</v>
      </c>
      <c r="R44" s="48">
        <f t="shared" si="2"/>
        <v>1667</v>
      </c>
      <c r="S44" s="52">
        <v>473</v>
      </c>
      <c r="T44" s="52">
        <v>236</v>
      </c>
      <c r="U44" s="52">
        <f t="shared" si="3"/>
        <v>67.428571428571431</v>
      </c>
      <c r="V44" s="53">
        <v>806</v>
      </c>
      <c r="W44" s="52">
        <v>130</v>
      </c>
      <c r="X44" s="68">
        <v>22</v>
      </c>
      <c r="Y44" s="41" t="s">
        <v>121</v>
      </c>
      <c r="AC44" s="168">
        <f t="shared" si="9"/>
        <v>1667</v>
      </c>
      <c r="AD44" s="168">
        <v>236</v>
      </c>
      <c r="AE44" s="169">
        <v>473</v>
      </c>
      <c r="AF44" s="168">
        <v>806</v>
      </c>
      <c r="AG44" s="168">
        <v>0</v>
      </c>
      <c r="AH44" s="168"/>
      <c r="AI44" s="168"/>
      <c r="AJ44" s="168"/>
      <c r="AK44" s="170">
        <v>130</v>
      </c>
      <c r="AL44" s="170"/>
      <c r="AM44" s="169">
        <v>22</v>
      </c>
      <c r="AN44" s="170"/>
      <c r="AO44" s="168"/>
      <c r="AP44" s="168"/>
      <c r="AQ44" s="168">
        <v>0</v>
      </c>
      <c r="AR44" s="171"/>
      <c r="AS44" s="159"/>
    </row>
    <row r="45" spans="1:45" x14ac:dyDescent="0.3">
      <c r="A45" s="304"/>
      <c r="B45" s="310"/>
      <c r="C45" s="296"/>
      <c r="D45" s="81" t="s">
        <v>378</v>
      </c>
      <c r="E45" s="76">
        <v>9810592000412</v>
      </c>
      <c r="F45" s="9">
        <v>3.5</v>
      </c>
      <c r="G45" s="8" t="s">
        <v>8</v>
      </c>
      <c r="H45" s="26" t="s">
        <v>21</v>
      </c>
      <c r="I45" s="26" t="s">
        <v>20</v>
      </c>
      <c r="J45" s="26" t="s">
        <v>80</v>
      </c>
      <c r="K45" s="67">
        <v>10000</v>
      </c>
      <c r="L45" s="131">
        <f t="shared" si="4"/>
        <v>2600</v>
      </c>
      <c r="M45" s="157">
        <f t="shared" si="0"/>
        <v>0.08</v>
      </c>
      <c r="N45" s="131">
        <f t="shared" si="5"/>
        <v>6000</v>
      </c>
      <c r="O45" s="132">
        <f t="shared" si="1"/>
        <v>0.42</v>
      </c>
      <c r="P45" s="73">
        <v>1800</v>
      </c>
      <c r="Q45" s="56">
        <f t="shared" si="6"/>
        <v>133</v>
      </c>
      <c r="R45" s="48">
        <f t="shared" si="2"/>
        <v>1667</v>
      </c>
      <c r="S45" s="52">
        <v>473</v>
      </c>
      <c r="T45" s="52">
        <v>236</v>
      </c>
      <c r="U45" s="52">
        <f t="shared" si="3"/>
        <v>67.428571428571431</v>
      </c>
      <c r="V45" s="53">
        <v>806</v>
      </c>
      <c r="W45" s="52">
        <v>130</v>
      </c>
      <c r="X45" s="68">
        <v>22</v>
      </c>
      <c r="Y45" s="41" t="s">
        <v>121</v>
      </c>
      <c r="AC45" s="168">
        <f t="shared" si="9"/>
        <v>1667</v>
      </c>
      <c r="AD45" s="168">
        <v>236</v>
      </c>
      <c r="AE45" s="169">
        <v>473</v>
      </c>
      <c r="AF45" s="168">
        <v>806</v>
      </c>
      <c r="AG45" s="168">
        <v>0</v>
      </c>
      <c r="AH45" s="168"/>
      <c r="AI45" s="168"/>
      <c r="AJ45" s="168"/>
      <c r="AK45" s="170">
        <v>130</v>
      </c>
      <c r="AL45" s="170"/>
      <c r="AM45" s="169">
        <v>22</v>
      </c>
      <c r="AN45" s="170"/>
      <c r="AO45" s="168"/>
      <c r="AP45" s="168"/>
      <c r="AQ45" s="168">
        <v>0</v>
      </c>
      <c r="AR45" s="171"/>
      <c r="AS45" s="159"/>
    </row>
    <row r="46" spans="1:45" x14ac:dyDescent="0.3">
      <c r="A46" s="304"/>
      <c r="B46" s="310"/>
      <c r="C46" s="296"/>
      <c r="D46" s="81" t="s">
        <v>379</v>
      </c>
      <c r="E46" s="76">
        <v>9810592000413</v>
      </c>
      <c r="F46" s="9">
        <v>3.5</v>
      </c>
      <c r="G46" s="8" t="s">
        <v>8</v>
      </c>
      <c r="H46" s="26" t="s">
        <v>21</v>
      </c>
      <c r="I46" s="26" t="s">
        <v>20</v>
      </c>
      <c r="J46" s="26" t="s">
        <v>80</v>
      </c>
      <c r="K46" s="67">
        <v>10000</v>
      </c>
      <c r="L46" s="131">
        <f t="shared" si="4"/>
        <v>2600</v>
      </c>
      <c r="M46" s="157">
        <f t="shared" si="0"/>
        <v>0.08</v>
      </c>
      <c r="N46" s="131">
        <f t="shared" si="5"/>
        <v>6000</v>
      </c>
      <c r="O46" s="132">
        <f t="shared" si="1"/>
        <v>0.42</v>
      </c>
      <c r="P46" s="73">
        <v>1800</v>
      </c>
      <c r="Q46" s="56">
        <f t="shared" si="6"/>
        <v>133</v>
      </c>
      <c r="R46" s="48">
        <f t="shared" si="2"/>
        <v>1667</v>
      </c>
      <c r="S46" s="52">
        <v>473</v>
      </c>
      <c r="T46" s="52">
        <v>236</v>
      </c>
      <c r="U46" s="52">
        <f t="shared" si="3"/>
        <v>67.428571428571431</v>
      </c>
      <c r="V46" s="53">
        <v>806</v>
      </c>
      <c r="W46" s="52">
        <v>130</v>
      </c>
      <c r="X46" s="68">
        <v>22</v>
      </c>
      <c r="Y46" s="41" t="s">
        <v>121</v>
      </c>
      <c r="AC46" s="168">
        <f t="shared" si="9"/>
        <v>1667</v>
      </c>
      <c r="AD46" s="168">
        <v>236</v>
      </c>
      <c r="AE46" s="169">
        <v>473</v>
      </c>
      <c r="AF46" s="168">
        <v>806</v>
      </c>
      <c r="AG46" s="168">
        <v>0</v>
      </c>
      <c r="AH46" s="168"/>
      <c r="AI46" s="168"/>
      <c r="AJ46" s="168"/>
      <c r="AK46" s="170">
        <v>130</v>
      </c>
      <c r="AL46" s="170"/>
      <c r="AM46" s="169">
        <v>22</v>
      </c>
      <c r="AN46" s="170"/>
      <c r="AO46" s="168"/>
      <c r="AP46" s="168"/>
      <c r="AQ46" s="168">
        <v>0</v>
      </c>
      <c r="AR46" s="171"/>
      <c r="AS46" s="159"/>
    </row>
    <row r="47" spans="1:45" x14ac:dyDescent="0.3">
      <c r="A47" s="304"/>
      <c r="B47" s="310"/>
      <c r="C47" s="296"/>
      <c r="D47" s="81" t="s">
        <v>380</v>
      </c>
      <c r="E47" s="76">
        <v>9810592000414</v>
      </c>
      <c r="F47" s="9">
        <v>3.5</v>
      </c>
      <c r="G47" s="8" t="s">
        <v>8</v>
      </c>
      <c r="H47" s="26" t="s">
        <v>21</v>
      </c>
      <c r="I47" s="26" t="s">
        <v>20</v>
      </c>
      <c r="J47" s="26" t="s">
        <v>80</v>
      </c>
      <c r="K47" s="67">
        <v>10000</v>
      </c>
      <c r="L47" s="131">
        <f t="shared" si="4"/>
        <v>2600</v>
      </c>
      <c r="M47" s="157">
        <f t="shared" si="0"/>
        <v>0.08</v>
      </c>
      <c r="N47" s="131">
        <f t="shared" si="5"/>
        <v>6000</v>
      </c>
      <c r="O47" s="132">
        <f t="shared" si="1"/>
        <v>0.42</v>
      </c>
      <c r="P47" s="73">
        <v>1800</v>
      </c>
      <c r="Q47" s="56">
        <f t="shared" si="6"/>
        <v>133</v>
      </c>
      <c r="R47" s="48">
        <f t="shared" si="2"/>
        <v>1667</v>
      </c>
      <c r="S47" s="52">
        <v>473</v>
      </c>
      <c r="T47" s="52">
        <v>236</v>
      </c>
      <c r="U47" s="52">
        <f t="shared" si="3"/>
        <v>67.428571428571431</v>
      </c>
      <c r="V47" s="53">
        <v>806</v>
      </c>
      <c r="W47" s="52">
        <v>130</v>
      </c>
      <c r="X47" s="68">
        <v>22</v>
      </c>
      <c r="Y47" s="41" t="s">
        <v>121</v>
      </c>
      <c r="AC47" s="168">
        <f t="shared" si="9"/>
        <v>1667</v>
      </c>
      <c r="AD47" s="168">
        <v>236</v>
      </c>
      <c r="AE47" s="169">
        <v>473</v>
      </c>
      <c r="AF47" s="168">
        <v>806</v>
      </c>
      <c r="AG47" s="168">
        <v>0</v>
      </c>
      <c r="AH47" s="168"/>
      <c r="AI47" s="168"/>
      <c r="AJ47" s="168"/>
      <c r="AK47" s="170">
        <v>130</v>
      </c>
      <c r="AL47" s="170"/>
      <c r="AM47" s="169">
        <v>22</v>
      </c>
      <c r="AN47" s="170"/>
      <c r="AO47" s="168"/>
      <c r="AP47" s="168"/>
      <c r="AQ47" s="168">
        <v>0</v>
      </c>
      <c r="AR47" s="171"/>
      <c r="AS47" s="159"/>
    </row>
    <row r="48" spans="1:45" x14ac:dyDescent="0.3">
      <c r="A48" s="304"/>
      <c r="B48" s="310"/>
      <c r="C48" s="296"/>
      <c r="D48" s="81" t="s">
        <v>381</v>
      </c>
      <c r="E48" s="76">
        <v>9810592000415</v>
      </c>
      <c r="F48" s="9">
        <v>3.5</v>
      </c>
      <c r="G48" s="8" t="s">
        <v>8</v>
      </c>
      <c r="H48" s="26" t="s">
        <v>21</v>
      </c>
      <c r="I48" s="26" t="s">
        <v>20</v>
      </c>
      <c r="J48" s="26" t="s">
        <v>80</v>
      </c>
      <c r="K48" s="67">
        <v>10000</v>
      </c>
      <c r="L48" s="131">
        <f t="shared" si="4"/>
        <v>2600</v>
      </c>
      <c r="M48" s="157">
        <f t="shared" si="0"/>
        <v>0.08</v>
      </c>
      <c r="N48" s="131">
        <f t="shared" si="5"/>
        <v>6000</v>
      </c>
      <c r="O48" s="132">
        <f t="shared" si="1"/>
        <v>0.42</v>
      </c>
      <c r="P48" s="73">
        <v>1800</v>
      </c>
      <c r="Q48" s="56">
        <f t="shared" si="6"/>
        <v>133</v>
      </c>
      <c r="R48" s="48">
        <f t="shared" si="2"/>
        <v>1667</v>
      </c>
      <c r="S48" s="52">
        <v>473</v>
      </c>
      <c r="T48" s="52">
        <v>236</v>
      </c>
      <c r="U48" s="52">
        <f t="shared" si="3"/>
        <v>67.428571428571431</v>
      </c>
      <c r="V48" s="53">
        <v>806</v>
      </c>
      <c r="W48" s="52">
        <v>130</v>
      </c>
      <c r="X48" s="68">
        <v>22</v>
      </c>
      <c r="Y48" s="41" t="s">
        <v>121</v>
      </c>
      <c r="AC48" s="168">
        <f t="shared" si="9"/>
        <v>1667</v>
      </c>
      <c r="AD48" s="168">
        <v>236</v>
      </c>
      <c r="AE48" s="169">
        <v>473</v>
      </c>
      <c r="AF48" s="168">
        <v>806</v>
      </c>
      <c r="AG48" s="168">
        <v>0</v>
      </c>
      <c r="AH48" s="168"/>
      <c r="AI48" s="168"/>
      <c r="AJ48" s="168"/>
      <c r="AK48" s="170">
        <v>130</v>
      </c>
      <c r="AL48" s="170"/>
      <c r="AM48" s="169">
        <v>22</v>
      </c>
      <c r="AN48" s="170"/>
      <c r="AO48" s="168"/>
      <c r="AP48" s="168"/>
      <c r="AQ48" s="168">
        <v>0</v>
      </c>
      <c r="AR48" s="171"/>
      <c r="AS48" s="159"/>
    </row>
    <row r="49" spans="1:45" hidden="1" x14ac:dyDescent="0.3">
      <c r="A49" s="304"/>
      <c r="B49" s="310"/>
      <c r="C49" s="296" t="s">
        <v>22</v>
      </c>
      <c r="D49" s="81" t="s">
        <v>382</v>
      </c>
      <c r="E49" s="76">
        <v>9810592000149</v>
      </c>
      <c r="F49" s="11">
        <v>3.5</v>
      </c>
      <c r="G49" s="8" t="s">
        <v>8</v>
      </c>
      <c r="H49" s="26" t="s">
        <v>13</v>
      </c>
      <c r="I49" s="26" t="s">
        <v>23</v>
      </c>
      <c r="J49" s="26" t="s">
        <v>77</v>
      </c>
      <c r="K49" s="67">
        <v>12000</v>
      </c>
      <c r="L49" s="131">
        <f t="shared" si="4"/>
        <v>3120</v>
      </c>
      <c r="M49" s="157">
        <f t="shared" si="0"/>
        <v>9.3333333333333338E-2</v>
      </c>
      <c r="N49" s="131">
        <f t="shared" si="5"/>
        <v>7200</v>
      </c>
      <c r="O49" s="132">
        <f t="shared" si="1"/>
        <v>0.43333333333333335</v>
      </c>
      <c r="P49" s="73">
        <v>2000</v>
      </c>
      <c r="Q49" s="56">
        <f t="shared" si="6"/>
        <v>516.70000000000005</v>
      </c>
      <c r="R49" s="48">
        <f t="shared" si="2"/>
        <v>1483.3</v>
      </c>
      <c r="S49" s="52">
        <v>380</v>
      </c>
      <c r="T49" s="52">
        <v>440</v>
      </c>
      <c r="U49" s="52">
        <f t="shared" si="3"/>
        <v>125.71428571428571</v>
      </c>
      <c r="V49" s="52">
        <v>440</v>
      </c>
      <c r="W49" s="53">
        <f>183*1.1</f>
        <v>201.3</v>
      </c>
      <c r="X49" s="53">
        <v>22</v>
      </c>
      <c r="Y49" s="41" t="s">
        <v>117</v>
      </c>
    </row>
    <row r="50" spans="1:45" hidden="1" x14ac:dyDescent="0.3">
      <c r="A50" s="304"/>
      <c r="B50" s="310"/>
      <c r="C50" s="296"/>
      <c r="D50" s="81" t="s">
        <v>383</v>
      </c>
      <c r="E50" s="76">
        <v>9810592000147</v>
      </c>
      <c r="F50" s="11">
        <v>3.5</v>
      </c>
      <c r="G50" s="8" t="s">
        <v>8</v>
      </c>
      <c r="H50" s="26" t="s">
        <v>13</v>
      </c>
      <c r="I50" s="26" t="s">
        <v>23</v>
      </c>
      <c r="J50" s="26" t="s">
        <v>77</v>
      </c>
      <c r="K50" s="67">
        <v>12000</v>
      </c>
      <c r="L50" s="131">
        <f t="shared" si="4"/>
        <v>3120</v>
      </c>
      <c r="M50" s="157">
        <f t="shared" si="0"/>
        <v>9.3333333333333338E-2</v>
      </c>
      <c r="N50" s="131">
        <f t="shared" si="5"/>
        <v>7200</v>
      </c>
      <c r="O50" s="132">
        <f t="shared" si="1"/>
        <v>0.43333333333333335</v>
      </c>
      <c r="P50" s="73">
        <v>2000</v>
      </c>
      <c r="Q50" s="56">
        <f t="shared" si="6"/>
        <v>516.70000000000005</v>
      </c>
      <c r="R50" s="48">
        <f t="shared" si="2"/>
        <v>1483.3</v>
      </c>
      <c r="S50" s="52">
        <v>380</v>
      </c>
      <c r="T50" s="52">
        <v>440</v>
      </c>
      <c r="U50" s="52">
        <f t="shared" si="3"/>
        <v>125.71428571428571</v>
      </c>
      <c r="V50" s="52">
        <v>440</v>
      </c>
      <c r="W50" s="53">
        <f t="shared" ref="W50:W55" si="10">183*1.1</f>
        <v>201.3</v>
      </c>
      <c r="X50" s="53">
        <v>22</v>
      </c>
      <c r="Y50" s="41" t="s">
        <v>117</v>
      </c>
    </row>
    <row r="51" spans="1:45" hidden="1" x14ac:dyDescent="0.3">
      <c r="A51" s="304"/>
      <c r="B51" s="310"/>
      <c r="C51" s="296"/>
      <c r="D51" s="81" t="s">
        <v>384</v>
      </c>
      <c r="E51" s="76">
        <v>9810592000145</v>
      </c>
      <c r="F51" s="11">
        <v>3.5</v>
      </c>
      <c r="G51" s="8" t="s">
        <v>8</v>
      </c>
      <c r="H51" s="26" t="s">
        <v>13</v>
      </c>
      <c r="I51" s="26" t="s">
        <v>23</v>
      </c>
      <c r="J51" s="26" t="s">
        <v>77</v>
      </c>
      <c r="K51" s="67">
        <v>12000</v>
      </c>
      <c r="L51" s="131">
        <f t="shared" si="4"/>
        <v>3120</v>
      </c>
      <c r="M51" s="157">
        <f t="shared" si="0"/>
        <v>9.3333333333333338E-2</v>
      </c>
      <c r="N51" s="131">
        <f t="shared" si="5"/>
        <v>7200</v>
      </c>
      <c r="O51" s="132">
        <f t="shared" si="1"/>
        <v>0.43333333333333335</v>
      </c>
      <c r="P51" s="73">
        <v>2000</v>
      </c>
      <c r="Q51" s="56">
        <f t="shared" si="6"/>
        <v>516.70000000000005</v>
      </c>
      <c r="R51" s="48">
        <f t="shared" si="2"/>
        <v>1483.3</v>
      </c>
      <c r="S51" s="52">
        <v>380</v>
      </c>
      <c r="T51" s="52">
        <v>440</v>
      </c>
      <c r="U51" s="52">
        <f t="shared" si="3"/>
        <v>125.71428571428571</v>
      </c>
      <c r="V51" s="52">
        <v>440</v>
      </c>
      <c r="W51" s="53">
        <f t="shared" si="10"/>
        <v>201.3</v>
      </c>
      <c r="X51" s="53">
        <v>22</v>
      </c>
      <c r="Y51" s="41" t="s">
        <v>117</v>
      </c>
    </row>
    <row r="52" spans="1:45" hidden="1" x14ac:dyDescent="0.3">
      <c r="A52" s="304"/>
      <c r="B52" s="310"/>
      <c r="C52" s="296"/>
      <c r="D52" s="81" t="s">
        <v>385</v>
      </c>
      <c r="E52" s="76">
        <v>9810592000146</v>
      </c>
      <c r="F52" s="11">
        <v>3.5</v>
      </c>
      <c r="G52" s="8" t="s">
        <v>8</v>
      </c>
      <c r="H52" s="26" t="s">
        <v>13</v>
      </c>
      <c r="I52" s="26" t="s">
        <v>23</v>
      </c>
      <c r="J52" s="26" t="s">
        <v>77</v>
      </c>
      <c r="K52" s="67">
        <v>12000</v>
      </c>
      <c r="L52" s="131">
        <f t="shared" si="4"/>
        <v>3120</v>
      </c>
      <c r="M52" s="157">
        <f t="shared" si="0"/>
        <v>9.3333333333333338E-2</v>
      </c>
      <c r="N52" s="131">
        <f t="shared" si="5"/>
        <v>7200</v>
      </c>
      <c r="O52" s="132">
        <f t="shared" si="1"/>
        <v>0.43333333333333335</v>
      </c>
      <c r="P52" s="73">
        <v>2000</v>
      </c>
      <c r="Q52" s="56">
        <f t="shared" si="6"/>
        <v>516.70000000000005</v>
      </c>
      <c r="R52" s="48">
        <f t="shared" si="2"/>
        <v>1483.3</v>
      </c>
      <c r="S52" s="52">
        <v>380</v>
      </c>
      <c r="T52" s="52">
        <v>440</v>
      </c>
      <c r="U52" s="52">
        <f t="shared" si="3"/>
        <v>125.71428571428571</v>
      </c>
      <c r="V52" s="52">
        <v>440</v>
      </c>
      <c r="W52" s="53">
        <f t="shared" si="10"/>
        <v>201.3</v>
      </c>
      <c r="X52" s="53">
        <v>22</v>
      </c>
      <c r="Y52" s="41" t="s">
        <v>117</v>
      </c>
    </row>
    <row r="53" spans="1:45" hidden="1" x14ac:dyDescent="0.3">
      <c r="A53" s="304"/>
      <c r="B53" s="310"/>
      <c r="C53" s="296"/>
      <c r="D53" s="81" t="s">
        <v>386</v>
      </c>
      <c r="E53" s="76">
        <v>9810592000144</v>
      </c>
      <c r="F53" s="11">
        <v>3.5</v>
      </c>
      <c r="G53" s="8" t="s">
        <v>8</v>
      </c>
      <c r="H53" s="26" t="s">
        <v>13</v>
      </c>
      <c r="I53" s="26" t="s">
        <v>23</v>
      </c>
      <c r="J53" s="26" t="s">
        <v>77</v>
      </c>
      <c r="K53" s="67">
        <v>12000</v>
      </c>
      <c r="L53" s="131">
        <f t="shared" si="4"/>
        <v>3120</v>
      </c>
      <c r="M53" s="157">
        <f t="shared" si="0"/>
        <v>9.3333333333333338E-2</v>
      </c>
      <c r="N53" s="131">
        <f t="shared" si="5"/>
        <v>7200</v>
      </c>
      <c r="O53" s="132">
        <f t="shared" si="1"/>
        <v>0.43333333333333335</v>
      </c>
      <c r="P53" s="73">
        <v>2000</v>
      </c>
      <c r="Q53" s="56">
        <f t="shared" si="6"/>
        <v>516.70000000000005</v>
      </c>
      <c r="R53" s="48">
        <f t="shared" si="2"/>
        <v>1483.3</v>
      </c>
      <c r="S53" s="52">
        <v>380</v>
      </c>
      <c r="T53" s="52">
        <v>440</v>
      </c>
      <c r="U53" s="52">
        <f t="shared" si="3"/>
        <v>125.71428571428571</v>
      </c>
      <c r="V53" s="52">
        <v>440</v>
      </c>
      <c r="W53" s="53">
        <f t="shared" si="10"/>
        <v>201.3</v>
      </c>
      <c r="X53" s="53">
        <v>22</v>
      </c>
      <c r="Y53" s="41" t="s">
        <v>117</v>
      </c>
    </row>
    <row r="54" spans="1:45" hidden="1" x14ac:dyDescent="0.3">
      <c r="A54" s="304"/>
      <c r="B54" s="310"/>
      <c r="C54" s="296"/>
      <c r="D54" s="81" t="s">
        <v>387</v>
      </c>
      <c r="E54" s="76">
        <v>9810592000148</v>
      </c>
      <c r="F54" s="11">
        <v>3.5</v>
      </c>
      <c r="G54" s="8" t="s">
        <v>8</v>
      </c>
      <c r="H54" s="26" t="s">
        <v>13</v>
      </c>
      <c r="I54" s="26" t="s">
        <v>23</v>
      </c>
      <c r="J54" s="26" t="s">
        <v>77</v>
      </c>
      <c r="K54" s="67">
        <v>12000</v>
      </c>
      <c r="L54" s="131">
        <f t="shared" si="4"/>
        <v>3120</v>
      </c>
      <c r="M54" s="157">
        <f t="shared" si="0"/>
        <v>9.3333333333333338E-2</v>
      </c>
      <c r="N54" s="131">
        <f t="shared" si="5"/>
        <v>7200</v>
      </c>
      <c r="O54" s="132">
        <f t="shared" si="1"/>
        <v>0.43333333333333335</v>
      </c>
      <c r="P54" s="73">
        <v>2000</v>
      </c>
      <c r="Q54" s="56">
        <f t="shared" si="6"/>
        <v>516.70000000000005</v>
      </c>
      <c r="R54" s="48">
        <f t="shared" si="2"/>
        <v>1483.3</v>
      </c>
      <c r="S54" s="52">
        <v>380</v>
      </c>
      <c r="T54" s="52">
        <v>440</v>
      </c>
      <c r="U54" s="52">
        <f t="shared" si="3"/>
        <v>125.71428571428571</v>
      </c>
      <c r="V54" s="52">
        <v>440</v>
      </c>
      <c r="W54" s="53">
        <f t="shared" si="10"/>
        <v>201.3</v>
      </c>
      <c r="X54" s="53">
        <v>22</v>
      </c>
      <c r="Y54" s="41" t="s">
        <v>117</v>
      </c>
    </row>
    <row r="55" spans="1:45" hidden="1" x14ac:dyDescent="0.3">
      <c r="A55" s="304"/>
      <c r="B55" s="310"/>
      <c r="C55" s="296"/>
      <c r="D55" s="81" t="s">
        <v>388</v>
      </c>
      <c r="E55" s="76">
        <v>9810592000403</v>
      </c>
      <c r="F55" s="9">
        <v>3.5</v>
      </c>
      <c r="G55" s="8" t="s">
        <v>8</v>
      </c>
      <c r="H55" s="26" t="s">
        <v>9</v>
      </c>
      <c r="I55" s="26" t="s">
        <v>23</v>
      </c>
      <c r="J55" s="26" t="s">
        <v>77</v>
      </c>
      <c r="K55" s="67">
        <v>12000</v>
      </c>
      <c r="L55" s="131">
        <f t="shared" si="4"/>
        <v>3120</v>
      </c>
      <c r="M55" s="157">
        <f t="shared" si="0"/>
        <v>9.3333333333333338E-2</v>
      </c>
      <c r="N55" s="131">
        <f t="shared" si="5"/>
        <v>7200</v>
      </c>
      <c r="O55" s="132">
        <f t="shared" si="1"/>
        <v>0.43333333333333335</v>
      </c>
      <c r="P55" s="73">
        <v>2000</v>
      </c>
      <c r="Q55" s="56">
        <f t="shared" si="6"/>
        <v>516.70000000000005</v>
      </c>
      <c r="R55" s="48">
        <f t="shared" si="2"/>
        <v>1483.3</v>
      </c>
      <c r="S55" s="52">
        <v>380</v>
      </c>
      <c r="T55" s="52">
        <v>440</v>
      </c>
      <c r="U55" s="52">
        <f t="shared" si="3"/>
        <v>125.71428571428571</v>
      </c>
      <c r="V55" s="52">
        <v>440</v>
      </c>
      <c r="W55" s="53">
        <f t="shared" si="10"/>
        <v>201.3</v>
      </c>
      <c r="X55" s="53">
        <v>22</v>
      </c>
      <c r="Y55" s="41" t="s">
        <v>109</v>
      </c>
    </row>
    <row r="56" spans="1:45" x14ac:dyDescent="0.3">
      <c r="A56" s="304"/>
      <c r="B56" s="310"/>
      <c r="C56" s="296"/>
      <c r="D56" s="81" t="s">
        <v>389</v>
      </c>
      <c r="E56" s="76">
        <v>9810592000404</v>
      </c>
      <c r="F56" s="11">
        <v>4.8</v>
      </c>
      <c r="G56" s="8" t="s">
        <v>8</v>
      </c>
      <c r="H56" s="26" t="s">
        <v>96</v>
      </c>
      <c r="I56" s="26" t="s">
        <v>23</v>
      </c>
      <c r="J56" s="26" t="s">
        <v>77</v>
      </c>
      <c r="K56" s="67">
        <v>20000</v>
      </c>
      <c r="L56" s="131">
        <f t="shared" si="4"/>
        <v>5200</v>
      </c>
      <c r="M56" s="157">
        <f t="shared" si="0"/>
        <v>0.08</v>
      </c>
      <c r="N56" s="131">
        <f t="shared" si="5"/>
        <v>12000</v>
      </c>
      <c r="O56" s="132">
        <f t="shared" si="1"/>
        <v>0.42</v>
      </c>
      <c r="P56" s="73">
        <v>3600</v>
      </c>
      <c r="Q56" s="56">
        <f t="shared" si="6"/>
        <v>146</v>
      </c>
      <c r="R56" s="48">
        <f t="shared" si="2"/>
        <v>3454</v>
      </c>
      <c r="S56" s="52">
        <v>900</v>
      </c>
      <c r="T56" s="52">
        <v>1010</v>
      </c>
      <c r="U56" s="52">
        <f t="shared" si="3"/>
        <v>210.41666666666669</v>
      </c>
      <c r="V56" s="52">
        <v>1005</v>
      </c>
      <c r="W56" s="52">
        <v>473</v>
      </c>
      <c r="X56" s="53">
        <v>66</v>
      </c>
      <c r="Y56" s="41" t="s">
        <v>110</v>
      </c>
      <c r="AC56" s="168">
        <f>SUM(AD56:AR56)</f>
        <v>3454</v>
      </c>
      <c r="AD56" s="168">
        <v>990</v>
      </c>
      <c r="AE56" s="168">
        <v>920</v>
      </c>
      <c r="AF56" s="168">
        <v>1005</v>
      </c>
      <c r="AG56" s="168">
        <v>0</v>
      </c>
      <c r="AH56" s="168"/>
      <c r="AI56" s="168"/>
      <c r="AJ56" s="168"/>
      <c r="AK56" s="170">
        <v>473</v>
      </c>
      <c r="AL56" s="170"/>
      <c r="AM56" s="169">
        <f>22*3</f>
        <v>66</v>
      </c>
      <c r="AN56" s="170"/>
      <c r="AO56" s="168"/>
      <c r="AP56" s="168"/>
      <c r="AQ56" s="168">
        <v>0</v>
      </c>
      <c r="AR56" s="171"/>
      <c r="AS56" s="159"/>
    </row>
    <row r="57" spans="1:45" hidden="1" x14ac:dyDescent="0.3">
      <c r="A57" s="304"/>
      <c r="B57" s="310"/>
      <c r="C57" s="296"/>
      <c r="D57" s="81" t="s">
        <v>390</v>
      </c>
      <c r="E57" s="76">
        <v>9810592000154</v>
      </c>
      <c r="F57" s="11">
        <v>3.8</v>
      </c>
      <c r="G57" s="8" t="s">
        <v>8</v>
      </c>
      <c r="H57" s="26" t="s">
        <v>24</v>
      </c>
      <c r="I57" s="26" t="s">
        <v>23</v>
      </c>
      <c r="J57" s="26" t="s">
        <v>77</v>
      </c>
      <c r="K57" s="67">
        <v>14000</v>
      </c>
      <c r="L57" s="131">
        <f t="shared" si="4"/>
        <v>3640</v>
      </c>
      <c r="M57" s="157">
        <f t="shared" si="0"/>
        <v>9.571428571428571E-2</v>
      </c>
      <c r="N57" s="131">
        <f t="shared" si="5"/>
        <v>8400</v>
      </c>
      <c r="O57" s="132">
        <f t="shared" si="1"/>
        <v>0.43571428571428572</v>
      </c>
      <c r="P57" s="73">
        <v>2300</v>
      </c>
      <c r="Q57" s="56">
        <f t="shared" si="6"/>
        <v>397.90000000000009</v>
      </c>
      <c r="R57" s="48">
        <f t="shared" si="2"/>
        <v>1902.1</v>
      </c>
      <c r="S57" s="52">
        <v>955</v>
      </c>
      <c r="T57" s="52">
        <v>275</v>
      </c>
      <c r="U57" s="52">
        <f t="shared" si="3"/>
        <v>72.368421052631589</v>
      </c>
      <c r="V57" s="52">
        <v>440</v>
      </c>
      <c r="W57" s="53">
        <f>191*1.1</f>
        <v>210.10000000000002</v>
      </c>
      <c r="X57" s="53">
        <v>22</v>
      </c>
      <c r="Y57" s="43" t="s">
        <v>112</v>
      </c>
    </row>
    <row r="58" spans="1:45" hidden="1" x14ac:dyDescent="0.3">
      <c r="A58" s="304"/>
      <c r="B58" s="310"/>
      <c r="C58" s="296"/>
      <c r="D58" s="81" t="s">
        <v>391</v>
      </c>
      <c r="E58" s="76">
        <v>9810592000152</v>
      </c>
      <c r="F58" s="11">
        <v>3.8</v>
      </c>
      <c r="G58" s="8" t="s">
        <v>8</v>
      </c>
      <c r="H58" s="26" t="s">
        <v>24</v>
      </c>
      <c r="I58" s="26" t="s">
        <v>23</v>
      </c>
      <c r="J58" s="26" t="s">
        <v>77</v>
      </c>
      <c r="K58" s="67">
        <v>14000</v>
      </c>
      <c r="L58" s="131">
        <f t="shared" si="4"/>
        <v>3640</v>
      </c>
      <c r="M58" s="157">
        <f t="shared" si="0"/>
        <v>9.571428571428571E-2</v>
      </c>
      <c r="N58" s="131">
        <f t="shared" si="5"/>
        <v>8400</v>
      </c>
      <c r="O58" s="132">
        <f t="shared" si="1"/>
        <v>0.43571428571428572</v>
      </c>
      <c r="P58" s="73">
        <v>2300</v>
      </c>
      <c r="Q58" s="56">
        <f t="shared" si="6"/>
        <v>397.90000000000009</v>
      </c>
      <c r="R58" s="48">
        <f t="shared" si="2"/>
        <v>1902.1</v>
      </c>
      <c r="S58" s="52">
        <v>955</v>
      </c>
      <c r="T58" s="52">
        <v>275</v>
      </c>
      <c r="U58" s="52">
        <f t="shared" si="3"/>
        <v>72.368421052631589</v>
      </c>
      <c r="V58" s="52">
        <v>440</v>
      </c>
      <c r="W58" s="53">
        <f t="shared" ref="W58:W61" si="11">191*1.1</f>
        <v>210.10000000000002</v>
      </c>
      <c r="X58" s="53">
        <v>22</v>
      </c>
      <c r="Y58" s="43" t="s">
        <v>111</v>
      </c>
    </row>
    <row r="59" spans="1:45" hidden="1" x14ac:dyDescent="0.3">
      <c r="A59" s="304"/>
      <c r="B59" s="310"/>
      <c r="C59" s="296"/>
      <c r="D59" s="81" t="s">
        <v>392</v>
      </c>
      <c r="E59" s="76">
        <v>9810592000153</v>
      </c>
      <c r="F59" s="11">
        <v>3.8</v>
      </c>
      <c r="G59" s="8" t="s">
        <v>8</v>
      </c>
      <c r="H59" s="26" t="s">
        <v>24</v>
      </c>
      <c r="I59" s="26" t="s">
        <v>23</v>
      </c>
      <c r="J59" s="26" t="s">
        <v>77</v>
      </c>
      <c r="K59" s="67">
        <v>14000</v>
      </c>
      <c r="L59" s="131">
        <f t="shared" si="4"/>
        <v>3640</v>
      </c>
      <c r="M59" s="157">
        <f t="shared" si="0"/>
        <v>9.571428571428571E-2</v>
      </c>
      <c r="N59" s="131">
        <f t="shared" si="5"/>
        <v>8400</v>
      </c>
      <c r="O59" s="132">
        <f t="shared" si="1"/>
        <v>0.43571428571428572</v>
      </c>
      <c r="P59" s="73">
        <v>2300</v>
      </c>
      <c r="Q59" s="56">
        <f t="shared" si="6"/>
        <v>397.90000000000009</v>
      </c>
      <c r="R59" s="48">
        <f t="shared" si="2"/>
        <v>1902.1</v>
      </c>
      <c r="S59" s="52">
        <v>955</v>
      </c>
      <c r="T59" s="52">
        <v>275</v>
      </c>
      <c r="U59" s="52">
        <f t="shared" si="3"/>
        <v>72.368421052631589</v>
      </c>
      <c r="V59" s="52">
        <v>440</v>
      </c>
      <c r="W59" s="53">
        <f t="shared" si="11"/>
        <v>210.10000000000002</v>
      </c>
      <c r="X59" s="53">
        <v>22</v>
      </c>
      <c r="Y59" s="43" t="s">
        <v>111</v>
      </c>
    </row>
    <row r="60" spans="1:45" hidden="1" x14ac:dyDescent="0.3">
      <c r="A60" s="304"/>
      <c r="B60" s="310"/>
      <c r="C60" s="296"/>
      <c r="D60" s="81" t="s">
        <v>393</v>
      </c>
      <c r="E60" s="76">
        <v>9810592000150</v>
      </c>
      <c r="F60" s="11">
        <v>3.8</v>
      </c>
      <c r="G60" s="8" t="s">
        <v>8</v>
      </c>
      <c r="H60" s="26" t="s">
        <v>24</v>
      </c>
      <c r="I60" s="26" t="s">
        <v>23</v>
      </c>
      <c r="J60" s="26" t="s">
        <v>77</v>
      </c>
      <c r="K60" s="67">
        <v>14000</v>
      </c>
      <c r="L60" s="131">
        <f t="shared" si="4"/>
        <v>3640</v>
      </c>
      <c r="M60" s="157">
        <f t="shared" si="0"/>
        <v>9.571428571428571E-2</v>
      </c>
      <c r="N60" s="131">
        <f t="shared" si="5"/>
        <v>8400</v>
      </c>
      <c r="O60" s="132">
        <f t="shared" si="1"/>
        <v>0.43571428571428572</v>
      </c>
      <c r="P60" s="73">
        <v>2300</v>
      </c>
      <c r="Q60" s="56">
        <f t="shared" si="6"/>
        <v>397.90000000000009</v>
      </c>
      <c r="R60" s="48">
        <f t="shared" si="2"/>
        <v>1902.1</v>
      </c>
      <c r="S60" s="52">
        <v>955</v>
      </c>
      <c r="T60" s="52">
        <v>275</v>
      </c>
      <c r="U60" s="52">
        <f t="shared" si="3"/>
        <v>72.368421052631589</v>
      </c>
      <c r="V60" s="52">
        <v>440</v>
      </c>
      <c r="W60" s="53">
        <f t="shared" si="11"/>
        <v>210.10000000000002</v>
      </c>
      <c r="X60" s="53">
        <v>22</v>
      </c>
      <c r="Y60" s="43" t="s">
        <v>111</v>
      </c>
    </row>
    <row r="61" spans="1:45" hidden="1" x14ac:dyDescent="0.3">
      <c r="A61" s="304"/>
      <c r="B61" s="310"/>
      <c r="C61" s="296"/>
      <c r="D61" s="81" t="s">
        <v>394</v>
      </c>
      <c r="E61" s="76">
        <v>9810592000151</v>
      </c>
      <c r="F61" s="11">
        <v>3.8</v>
      </c>
      <c r="G61" s="8" t="s">
        <v>8</v>
      </c>
      <c r="H61" s="26" t="s">
        <v>24</v>
      </c>
      <c r="I61" s="26" t="s">
        <v>23</v>
      </c>
      <c r="J61" s="26" t="s">
        <v>77</v>
      </c>
      <c r="K61" s="67">
        <v>14000</v>
      </c>
      <c r="L61" s="131">
        <f t="shared" si="4"/>
        <v>3640</v>
      </c>
      <c r="M61" s="157">
        <f t="shared" si="0"/>
        <v>9.571428571428571E-2</v>
      </c>
      <c r="N61" s="131">
        <f t="shared" si="5"/>
        <v>8400</v>
      </c>
      <c r="O61" s="132">
        <f t="shared" si="1"/>
        <v>0.43571428571428572</v>
      </c>
      <c r="P61" s="73">
        <v>2300</v>
      </c>
      <c r="Q61" s="56">
        <f t="shared" si="6"/>
        <v>397.90000000000009</v>
      </c>
      <c r="R61" s="48">
        <f t="shared" si="2"/>
        <v>1902.1</v>
      </c>
      <c r="S61" s="52">
        <v>955</v>
      </c>
      <c r="T61" s="52">
        <v>275</v>
      </c>
      <c r="U61" s="52">
        <f t="shared" si="3"/>
        <v>72.368421052631589</v>
      </c>
      <c r="V61" s="52">
        <v>440</v>
      </c>
      <c r="W61" s="53">
        <f t="shared" si="11"/>
        <v>210.10000000000002</v>
      </c>
      <c r="X61" s="53">
        <v>22</v>
      </c>
      <c r="Y61" s="43" t="s">
        <v>111</v>
      </c>
    </row>
    <row r="62" spans="1:45" x14ac:dyDescent="0.3">
      <c r="A62" s="304"/>
      <c r="B62" s="310"/>
      <c r="C62" s="296"/>
      <c r="D62" s="81" t="s">
        <v>395</v>
      </c>
      <c r="E62" s="76">
        <v>9810592000394</v>
      </c>
      <c r="F62" s="12">
        <v>5</v>
      </c>
      <c r="G62" s="8" t="s">
        <v>8</v>
      </c>
      <c r="H62" s="26" t="s">
        <v>81</v>
      </c>
      <c r="I62" s="26" t="s">
        <v>81</v>
      </c>
      <c r="J62" s="26" t="s">
        <v>77</v>
      </c>
      <c r="K62" s="67">
        <v>12000</v>
      </c>
      <c r="L62" s="131">
        <f t="shared" si="4"/>
        <v>3120</v>
      </c>
      <c r="M62" s="157">
        <f t="shared" si="0"/>
        <v>7.6666666666666661E-2</v>
      </c>
      <c r="N62" s="131">
        <f t="shared" si="5"/>
        <v>7200</v>
      </c>
      <c r="O62" s="132">
        <f t="shared" si="1"/>
        <v>0.41666666666666669</v>
      </c>
      <c r="P62" s="73">
        <v>2200</v>
      </c>
      <c r="Q62" s="56">
        <f t="shared" si="6"/>
        <v>270</v>
      </c>
      <c r="R62" s="48">
        <f t="shared" si="2"/>
        <v>1930</v>
      </c>
      <c r="S62" s="52">
        <v>280</v>
      </c>
      <c r="T62" s="52">
        <v>450</v>
      </c>
      <c r="U62" s="52">
        <f t="shared" si="3"/>
        <v>90</v>
      </c>
      <c r="V62" s="52">
        <v>990</v>
      </c>
      <c r="W62" s="53">
        <v>193</v>
      </c>
      <c r="X62" s="53">
        <v>17</v>
      </c>
      <c r="Y62" s="41" t="s">
        <v>114</v>
      </c>
      <c r="AC62" s="168">
        <f t="shared" ref="AC62:AC66" si="12">SUM(AD62:AR62)</f>
        <v>1931</v>
      </c>
      <c r="AD62" s="169">
        <v>385</v>
      </c>
      <c r="AE62" s="168">
        <v>319</v>
      </c>
      <c r="AF62" s="173">
        <v>1012</v>
      </c>
      <c r="AG62" s="168"/>
      <c r="AH62" s="168"/>
      <c r="AI62" s="168"/>
      <c r="AJ62" s="168"/>
      <c r="AK62" s="170">
        <v>193</v>
      </c>
      <c r="AL62" s="170"/>
      <c r="AM62" s="169">
        <v>22</v>
      </c>
      <c r="AN62" s="170"/>
      <c r="AO62" s="168"/>
      <c r="AP62" s="168"/>
      <c r="AQ62" s="168">
        <v>0</v>
      </c>
      <c r="AR62" s="171"/>
      <c r="AS62" s="159"/>
    </row>
    <row r="63" spans="1:45" x14ac:dyDescent="0.3">
      <c r="A63" s="304"/>
      <c r="B63" s="310"/>
      <c r="C63" s="296"/>
      <c r="D63" s="81" t="s">
        <v>396</v>
      </c>
      <c r="E63" s="76">
        <v>9810592000395</v>
      </c>
      <c r="F63" s="12">
        <v>5</v>
      </c>
      <c r="G63" s="8" t="s">
        <v>8</v>
      </c>
      <c r="H63" s="26" t="s">
        <v>81</v>
      </c>
      <c r="I63" s="26" t="s">
        <v>81</v>
      </c>
      <c r="J63" s="26" t="s">
        <v>77</v>
      </c>
      <c r="K63" s="67">
        <v>12000</v>
      </c>
      <c r="L63" s="131">
        <f t="shared" si="4"/>
        <v>3120</v>
      </c>
      <c r="M63" s="157">
        <f t="shared" si="0"/>
        <v>7.6666666666666661E-2</v>
      </c>
      <c r="N63" s="131">
        <f t="shared" si="5"/>
        <v>7200</v>
      </c>
      <c r="O63" s="132">
        <f t="shared" si="1"/>
        <v>0.41666666666666669</v>
      </c>
      <c r="P63" s="73">
        <v>2200</v>
      </c>
      <c r="Q63" s="56">
        <f t="shared" si="6"/>
        <v>270</v>
      </c>
      <c r="R63" s="48">
        <f t="shared" si="2"/>
        <v>1930</v>
      </c>
      <c r="S63" s="52">
        <v>280</v>
      </c>
      <c r="T63" s="52">
        <v>450</v>
      </c>
      <c r="U63" s="52">
        <f t="shared" si="3"/>
        <v>90</v>
      </c>
      <c r="V63" s="52">
        <v>990</v>
      </c>
      <c r="W63" s="53">
        <v>193</v>
      </c>
      <c r="X63" s="53">
        <v>17</v>
      </c>
      <c r="Y63" s="41" t="s">
        <v>113</v>
      </c>
      <c r="AC63" s="168">
        <f t="shared" si="12"/>
        <v>1931</v>
      </c>
      <c r="AD63" s="169">
        <v>385</v>
      </c>
      <c r="AE63" s="168">
        <v>319</v>
      </c>
      <c r="AF63" s="173">
        <v>1012</v>
      </c>
      <c r="AG63" s="168"/>
      <c r="AH63" s="168"/>
      <c r="AI63" s="168"/>
      <c r="AJ63" s="168"/>
      <c r="AK63" s="170">
        <v>193</v>
      </c>
      <c r="AL63" s="170"/>
      <c r="AM63" s="169">
        <v>22</v>
      </c>
      <c r="AN63" s="170"/>
      <c r="AO63" s="168"/>
      <c r="AP63" s="168"/>
      <c r="AQ63" s="168">
        <v>0</v>
      </c>
      <c r="AR63" s="171"/>
      <c r="AS63" s="159"/>
    </row>
    <row r="64" spans="1:45" x14ac:dyDescent="0.3">
      <c r="A64" s="304"/>
      <c r="B64" s="310"/>
      <c r="C64" s="296"/>
      <c r="D64" s="81" t="s">
        <v>397</v>
      </c>
      <c r="E64" s="76">
        <v>9810592000396</v>
      </c>
      <c r="F64" s="12">
        <v>5</v>
      </c>
      <c r="G64" s="8" t="s">
        <v>8</v>
      </c>
      <c r="H64" s="26" t="s">
        <v>81</v>
      </c>
      <c r="I64" s="26" t="s">
        <v>81</v>
      </c>
      <c r="J64" s="26" t="s">
        <v>77</v>
      </c>
      <c r="K64" s="67">
        <v>12000</v>
      </c>
      <c r="L64" s="131">
        <f t="shared" si="4"/>
        <v>3120</v>
      </c>
      <c r="M64" s="157">
        <f t="shared" si="0"/>
        <v>7.6666666666666661E-2</v>
      </c>
      <c r="N64" s="131">
        <f t="shared" si="5"/>
        <v>7200</v>
      </c>
      <c r="O64" s="132">
        <f t="shared" si="1"/>
        <v>0.41666666666666669</v>
      </c>
      <c r="P64" s="73">
        <v>2200</v>
      </c>
      <c r="Q64" s="56">
        <f t="shared" si="6"/>
        <v>270</v>
      </c>
      <c r="R64" s="48">
        <f t="shared" si="2"/>
        <v>1930</v>
      </c>
      <c r="S64" s="52">
        <v>280</v>
      </c>
      <c r="T64" s="52">
        <v>450</v>
      </c>
      <c r="U64" s="52">
        <f t="shared" si="3"/>
        <v>90</v>
      </c>
      <c r="V64" s="52">
        <v>990</v>
      </c>
      <c r="W64" s="53">
        <v>193</v>
      </c>
      <c r="X64" s="53">
        <v>17</v>
      </c>
      <c r="Y64" s="41" t="s">
        <v>113</v>
      </c>
      <c r="AC64" s="168">
        <f t="shared" si="12"/>
        <v>1931</v>
      </c>
      <c r="AD64" s="169">
        <v>385</v>
      </c>
      <c r="AE64" s="168">
        <v>319</v>
      </c>
      <c r="AF64" s="173">
        <v>1012</v>
      </c>
      <c r="AG64" s="168"/>
      <c r="AH64" s="168"/>
      <c r="AI64" s="168"/>
      <c r="AJ64" s="168"/>
      <c r="AK64" s="170">
        <v>193</v>
      </c>
      <c r="AL64" s="170"/>
      <c r="AM64" s="169">
        <v>22</v>
      </c>
      <c r="AN64" s="170"/>
      <c r="AO64" s="168"/>
      <c r="AP64" s="168"/>
      <c r="AQ64" s="168">
        <v>0</v>
      </c>
      <c r="AR64" s="171"/>
      <c r="AS64" s="159"/>
    </row>
    <row r="65" spans="1:45" x14ac:dyDescent="0.3">
      <c r="A65" s="304"/>
      <c r="B65" s="310"/>
      <c r="C65" s="296"/>
      <c r="D65" s="81" t="s">
        <v>398</v>
      </c>
      <c r="E65" s="76">
        <v>9810592000397</v>
      </c>
      <c r="F65" s="12">
        <v>5</v>
      </c>
      <c r="G65" s="8" t="s">
        <v>8</v>
      </c>
      <c r="H65" s="26" t="s">
        <v>81</v>
      </c>
      <c r="I65" s="26" t="s">
        <v>81</v>
      </c>
      <c r="J65" s="26" t="s">
        <v>77</v>
      </c>
      <c r="K65" s="67">
        <v>12000</v>
      </c>
      <c r="L65" s="131">
        <f t="shared" si="4"/>
        <v>3120</v>
      </c>
      <c r="M65" s="157">
        <f t="shared" si="0"/>
        <v>7.6666666666666661E-2</v>
      </c>
      <c r="N65" s="131">
        <f t="shared" si="5"/>
        <v>7200</v>
      </c>
      <c r="O65" s="132">
        <f t="shared" si="1"/>
        <v>0.41666666666666669</v>
      </c>
      <c r="P65" s="73">
        <v>2200</v>
      </c>
      <c r="Q65" s="56">
        <f t="shared" si="6"/>
        <v>270</v>
      </c>
      <c r="R65" s="48">
        <f t="shared" si="2"/>
        <v>1930</v>
      </c>
      <c r="S65" s="52">
        <v>280</v>
      </c>
      <c r="T65" s="52">
        <v>450</v>
      </c>
      <c r="U65" s="52">
        <f t="shared" si="3"/>
        <v>90</v>
      </c>
      <c r="V65" s="52">
        <v>990</v>
      </c>
      <c r="W65" s="53">
        <v>193</v>
      </c>
      <c r="X65" s="53">
        <v>17</v>
      </c>
      <c r="Y65" s="41" t="s">
        <v>113</v>
      </c>
      <c r="AC65" s="168">
        <f t="shared" si="12"/>
        <v>1931</v>
      </c>
      <c r="AD65" s="169">
        <v>385</v>
      </c>
      <c r="AE65" s="168">
        <v>319</v>
      </c>
      <c r="AF65" s="173">
        <v>1012</v>
      </c>
      <c r="AG65" s="168"/>
      <c r="AH65" s="168"/>
      <c r="AI65" s="168"/>
      <c r="AJ65" s="168"/>
      <c r="AK65" s="170">
        <v>193</v>
      </c>
      <c r="AL65" s="170"/>
      <c r="AM65" s="169">
        <v>22</v>
      </c>
      <c r="AN65" s="170"/>
      <c r="AO65" s="168"/>
      <c r="AP65" s="168"/>
      <c r="AQ65" s="168">
        <v>0</v>
      </c>
      <c r="AR65" s="171"/>
      <c r="AS65" s="159"/>
    </row>
    <row r="66" spans="1:45" x14ac:dyDescent="0.3">
      <c r="A66" s="304"/>
      <c r="B66" s="310"/>
      <c r="C66" s="296"/>
      <c r="D66" s="81" t="s">
        <v>399</v>
      </c>
      <c r="E66" s="76">
        <v>9810592000398</v>
      </c>
      <c r="F66" s="12">
        <v>5</v>
      </c>
      <c r="G66" s="8" t="s">
        <v>8</v>
      </c>
      <c r="H66" s="26" t="s">
        <v>81</v>
      </c>
      <c r="I66" s="26" t="s">
        <v>81</v>
      </c>
      <c r="J66" s="26" t="s">
        <v>77</v>
      </c>
      <c r="K66" s="67">
        <v>12000</v>
      </c>
      <c r="L66" s="131">
        <f t="shared" si="4"/>
        <v>3120</v>
      </c>
      <c r="M66" s="157">
        <f t="shared" si="0"/>
        <v>7.6666666666666661E-2</v>
      </c>
      <c r="N66" s="131">
        <f t="shared" si="5"/>
        <v>7200</v>
      </c>
      <c r="O66" s="132">
        <f t="shared" si="1"/>
        <v>0.41666666666666669</v>
      </c>
      <c r="P66" s="73">
        <v>2200</v>
      </c>
      <c r="Q66" s="56">
        <f t="shared" si="6"/>
        <v>270</v>
      </c>
      <c r="R66" s="48">
        <f t="shared" si="2"/>
        <v>1930</v>
      </c>
      <c r="S66" s="52">
        <v>280</v>
      </c>
      <c r="T66" s="52">
        <v>450</v>
      </c>
      <c r="U66" s="52">
        <f t="shared" si="3"/>
        <v>90</v>
      </c>
      <c r="V66" s="52">
        <v>990</v>
      </c>
      <c r="W66" s="53">
        <v>193</v>
      </c>
      <c r="X66" s="53">
        <v>17</v>
      </c>
      <c r="Y66" s="41" t="s">
        <v>113</v>
      </c>
      <c r="AC66" s="168">
        <f t="shared" si="12"/>
        <v>1931</v>
      </c>
      <c r="AD66" s="169">
        <v>385</v>
      </c>
      <c r="AE66" s="168">
        <v>319</v>
      </c>
      <c r="AF66" s="173">
        <v>1012</v>
      </c>
      <c r="AG66" s="168"/>
      <c r="AH66" s="168"/>
      <c r="AI66" s="168"/>
      <c r="AJ66" s="168"/>
      <c r="AK66" s="170">
        <v>193</v>
      </c>
      <c r="AL66" s="170"/>
      <c r="AM66" s="169">
        <v>22</v>
      </c>
      <c r="AN66" s="170"/>
      <c r="AO66" s="168"/>
      <c r="AP66" s="168"/>
      <c r="AQ66" s="168">
        <v>0</v>
      </c>
      <c r="AR66" s="171"/>
      <c r="AS66" s="159"/>
    </row>
    <row r="67" spans="1:45" hidden="1" x14ac:dyDescent="0.3">
      <c r="A67" s="304"/>
      <c r="B67" s="310"/>
      <c r="C67" s="295" t="s">
        <v>100</v>
      </c>
      <c r="D67" s="7" t="s">
        <v>400</v>
      </c>
      <c r="E67" s="76">
        <v>9810592000099</v>
      </c>
      <c r="F67" s="16">
        <v>10</v>
      </c>
      <c r="G67" s="8" t="s">
        <v>8</v>
      </c>
      <c r="H67" s="26" t="s">
        <v>91</v>
      </c>
      <c r="I67" s="26" t="s">
        <v>25</v>
      </c>
      <c r="J67" s="26" t="s">
        <v>78</v>
      </c>
      <c r="K67" s="67">
        <v>10000</v>
      </c>
      <c r="L67" s="131">
        <f t="shared" si="4"/>
        <v>2600</v>
      </c>
      <c r="M67" s="157">
        <f t="shared" si="0"/>
        <v>0.14000000000000001</v>
      </c>
      <c r="N67" s="131">
        <f t="shared" si="5"/>
        <v>6000</v>
      </c>
      <c r="O67" s="132">
        <f t="shared" si="1"/>
        <v>0.48</v>
      </c>
      <c r="P67" s="73">
        <v>1200</v>
      </c>
      <c r="Q67" s="56">
        <f t="shared" si="6"/>
        <v>1.2000000000000455</v>
      </c>
      <c r="R67" s="112">
        <f t="shared" si="2"/>
        <v>1198.8</v>
      </c>
      <c r="S67" s="52">
        <v>488</v>
      </c>
      <c r="T67" s="52">
        <v>130</v>
      </c>
      <c r="U67" s="52">
        <f t="shared" si="3"/>
        <v>13</v>
      </c>
      <c r="V67" s="52">
        <v>451</v>
      </c>
      <c r="W67" s="54">
        <f>118*1.1</f>
        <v>129.80000000000001</v>
      </c>
      <c r="X67" s="52">
        <v>0</v>
      </c>
      <c r="Y67" s="42" t="s">
        <v>126</v>
      </c>
    </row>
    <row r="68" spans="1:45" hidden="1" x14ac:dyDescent="0.3">
      <c r="A68" s="304"/>
      <c r="B68" s="310"/>
      <c r="C68" s="295"/>
      <c r="D68" s="7" t="s">
        <v>401</v>
      </c>
      <c r="E68" s="76">
        <v>9810592000098</v>
      </c>
      <c r="F68" s="16">
        <v>10</v>
      </c>
      <c r="G68" s="8" t="s">
        <v>8</v>
      </c>
      <c r="H68" s="26" t="s">
        <v>91</v>
      </c>
      <c r="I68" s="26" t="s">
        <v>25</v>
      </c>
      <c r="J68" s="26" t="s">
        <v>78</v>
      </c>
      <c r="K68" s="67">
        <v>10000</v>
      </c>
      <c r="L68" s="131">
        <f t="shared" si="4"/>
        <v>2600</v>
      </c>
      <c r="M68" s="157">
        <f t="shared" si="0"/>
        <v>0.14000000000000001</v>
      </c>
      <c r="N68" s="131">
        <f t="shared" si="5"/>
        <v>6000</v>
      </c>
      <c r="O68" s="132">
        <f t="shared" si="1"/>
        <v>0.48</v>
      </c>
      <c r="P68" s="73">
        <v>1200</v>
      </c>
      <c r="Q68" s="56">
        <f t="shared" si="6"/>
        <v>1.2000000000000455</v>
      </c>
      <c r="R68" s="112">
        <f t="shared" si="2"/>
        <v>1198.8</v>
      </c>
      <c r="S68" s="52">
        <v>488</v>
      </c>
      <c r="T68" s="52">
        <v>130</v>
      </c>
      <c r="U68" s="52">
        <f t="shared" si="3"/>
        <v>13</v>
      </c>
      <c r="V68" s="52">
        <v>451</v>
      </c>
      <c r="W68" s="54">
        <f t="shared" ref="W68:W69" si="13">118*1.1</f>
        <v>129.80000000000001</v>
      </c>
      <c r="X68" s="52">
        <v>0</v>
      </c>
      <c r="Y68" s="42" t="s">
        <v>126</v>
      </c>
    </row>
    <row r="69" spans="1:45" hidden="1" x14ac:dyDescent="0.3">
      <c r="A69" s="304"/>
      <c r="B69" s="310"/>
      <c r="C69" s="295"/>
      <c r="D69" s="7" t="s">
        <v>402</v>
      </c>
      <c r="E69" s="76">
        <v>9810592000096</v>
      </c>
      <c r="F69" s="16">
        <v>10</v>
      </c>
      <c r="G69" s="8" t="s">
        <v>8</v>
      </c>
      <c r="H69" s="26" t="s">
        <v>91</v>
      </c>
      <c r="I69" s="26" t="s">
        <v>25</v>
      </c>
      <c r="J69" s="26" t="s">
        <v>78</v>
      </c>
      <c r="K69" s="67">
        <v>10000</v>
      </c>
      <c r="L69" s="131">
        <f t="shared" si="4"/>
        <v>2600</v>
      </c>
      <c r="M69" s="157">
        <f t="shared" ref="M69:M133" si="14">(L69-P69)/K69</f>
        <v>0.14000000000000001</v>
      </c>
      <c r="N69" s="131">
        <f t="shared" si="5"/>
        <v>6000</v>
      </c>
      <c r="O69" s="132">
        <f t="shared" ref="O69:O133" si="15">(N69-P69)/K69</f>
        <v>0.48</v>
      </c>
      <c r="P69" s="73">
        <v>1200</v>
      </c>
      <c r="Q69" s="56">
        <f t="shared" si="6"/>
        <v>1.2000000000000455</v>
      </c>
      <c r="R69" s="112">
        <f t="shared" ref="R69:R132" si="16">S69+T69+V69+W69+X69</f>
        <v>1198.8</v>
      </c>
      <c r="S69" s="52">
        <v>488</v>
      </c>
      <c r="T69" s="52">
        <v>130</v>
      </c>
      <c r="U69" s="52">
        <f t="shared" ref="U69:U112" si="17">T69/F69</f>
        <v>13</v>
      </c>
      <c r="V69" s="52">
        <v>451</v>
      </c>
      <c r="W69" s="54">
        <f t="shared" si="13"/>
        <v>129.80000000000001</v>
      </c>
      <c r="X69" s="52">
        <v>0</v>
      </c>
      <c r="Y69" s="42" t="s">
        <v>126</v>
      </c>
    </row>
    <row r="70" spans="1:45" x14ac:dyDescent="0.3">
      <c r="A70" s="304"/>
      <c r="B70" s="311"/>
      <c r="C70" s="153" t="s">
        <v>26</v>
      </c>
      <c r="D70" s="7" t="s">
        <v>403</v>
      </c>
      <c r="E70" s="76">
        <v>9810592000108</v>
      </c>
      <c r="F70" s="12">
        <v>100</v>
      </c>
      <c r="G70" s="8" t="s">
        <v>16</v>
      </c>
      <c r="H70" s="26" t="s">
        <v>27</v>
      </c>
      <c r="I70" s="26" t="s">
        <v>28</v>
      </c>
      <c r="J70" s="26"/>
      <c r="K70" s="67">
        <v>7000</v>
      </c>
      <c r="L70" s="131">
        <f t="shared" ref="L70:L133" si="18">K70*26%</f>
        <v>1820</v>
      </c>
      <c r="M70" s="157">
        <f t="shared" si="14"/>
        <v>8.8571428571428565E-2</v>
      </c>
      <c r="N70" s="131">
        <f t="shared" ref="N70:N133" si="19">K70*60%</f>
        <v>4200</v>
      </c>
      <c r="O70" s="132">
        <f t="shared" si="15"/>
        <v>0.42857142857142855</v>
      </c>
      <c r="P70" s="73">
        <v>1200</v>
      </c>
      <c r="Q70" s="56">
        <f t="shared" ref="Q70:Q133" si="20">P70-R70</f>
        <v>114</v>
      </c>
      <c r="R70" s="48">
        <f t="shared" si="16"/>
        <v>1086</v>
      </c>
      <c r="S70" s="52">
        <v>395</v>
      </c>
      <c r="T70" s="52">
        <v>320</v>
      </c>
      <c r="U70" s="52">
        <f t="shared" si="17"/>
        <v>3.2</v>
      </c>
      <c r="V70" s="52">
        <v>358</v>
      </c>
      <c r="W70" s="52">
        <v>0</v>
      </c>
      <c r="X70" s="53">
        <v>13</v>
      </c>
      <c r="Y70" s="43" t="s">
        <v>133</v>
      </c>
      <c r="AC70" s="168">
        <f t="shared" ref="AC70" si="21">SUM(AD70:AR70)</f>
        <v>1086</v>
      </c>
      <c r="AD70" s="169">
        <v>395</v>
      </c>
      <c r="AE70" s="169">
        <v>320</v>
      </c>
      <c r="AF70" s="169">
        <v>358</v>
      </c>
      <c r="AG70" s="168"/>
      <c r="AH70" s="168"/>
      <c r="AI70" s="168"/>
      <c r="AJ70" s="168"/>
      <c r="AK70" s="170"/>
      <c r="AL70" s="170"/>
      <c r="AM70" s="168"/>
      <c r="AN70" s="170"/>
      <c r="AO70" s="168"/>
      <c r="AP70" s="168"/>
      <c r="AQ70" s="168">
        <v>13</v>
      </c>
      <c r="AR70" s="171"/>
      <c r="AS70" s="159"/>
    </row>
    <row r="71" spans="1:45" hidden="1" x14ac:dyDescent="0.3">
      <c r="A71" s="299" t="s">
        <v>190</v>
      </c>
      <c r="B71" s="291" t="s">
        <v>201</v>
      </c>
      <c r="C71" s="296" t="s">
        <v>29</v>
      </c>
      <c r="D71" s="18" t="s">
        <v>404</v>
      </c>
      <c r="E71" s="76">
        <v>9810592000162</v>
      </c>
      <c r="F71" s="16">
        <v>200</v>
      </c>
      <c r="G71" s="8" t="s">
        <v>8</v>
      </c>
      <c r="H71" s="26" t="s">
        <v>12</v>
      </c>
      <c r="I71" s="26" t="s">
        <v>30</v>
      </c>
      <c r="J71" s="26" t="s">
        <v>77</v>
      </c>
      <c r="K71" s="67">
        <v>17000</v>
      </c>
      <c r="L71" s="131">
        <f t="shared" si="18"/>
        <v>4420</v>
      </c>
      <c r="M71" s="157">
        <f t="shared" si="14"/>
        <v>0.10705882352941176</v>
      </c>
      <c r="N71" s="131">
        <f t="shared" si="19"/>
        <v>10200</v>
      </c>
      <c r="O71" s="132">
        <f t="shared" si="15"/>
        <v>0.44705882352941179</v>
      </c>
      <c r="P71" s="73">
        <v>2600</v>
      </c>
      <c r="Q71" s="56">
        <f t="shared" si="20"/>
        <v>195.19999999999982</v>
      </c>
      <c r="R71" s="48">
        <f t="shared" si="16"/>
        <v>2404.8000000000002</v>
      </c>
      <c r="S71" s="52">
        <v>229</v>
      </c>
      <c r="T71" s="52">
        <v>1551</v>
      </c>
      <c r="U71" s="52">
        <f t="shared" si="17"/>
        <v>7.7549999999999999</v>
      </c>
      <c r="V71" s="52">
        <f>330+110</f>
        <v>440</v>
      </c>
      <c r="W71" s="53">
        <f>168*1.1</f>
        <v>184.8</v>
      </c>
      <c r="X71" s="52">
        <v>0</v>
      </c>
      <c r="Y71" s="43" t="s">
        <v>127</v>
      </c>
      <c r="AA71" s="40" t="s">
        <v>201</v>
      </c>
      <c r="AB71" s="40">
        <v>10</v>
      </c>
    </row>
    <row r="72" spans="1:45" hidden="1" x14ac:dyDescent="0.3">
      <c r="A72" s="300"/>
      <c r="B72" s="291"/>
      <c r="C72" s="296"/>
      <c r="D72" s="18" t="s">
        <v>405</v>
      </c>
      <c r="E72" s="76">
        <v>9810592000158</v>
      </c>
      <c r="F72" s="16">
        <v>50</v>
      </c>
      <c r="G72" s="8" t="s">
        <v>8</v>
      </c>
      <c r="H72" s="26" t="s">
        <v>12</v>
      </c>
      <c r="I72" s="26" t="s">
        <v>30</v>
      </c>
      <c r="J72" s="26" t="s">
        <v>77</v>
      </c>
      <c r="K72" s="67">
        <v>13000</v>
      </c>
      <c r="L72" s="131">
        <f t="shared" si="18"/>
        <v>3380</v>
      </c>
      <c r="M72" s="157">
        <f t="shared" si="14"/>
        <v>0.12923076923076923</v>
      </c>
      <c r="N72" s="131">
        <f t="shared" si="19"/>
        <v>7800</v>
      </c>
      <c r="O72" s="132">
        <f t="shared" si="15"/>
        <v>0.46923076923076923</v>
      </c>
      <c r="P72" s="73">
        <v>1700</v>
      </c>
      <c r="Q72" s="56">
        <f t="shared" si="20"/>
        <v>131</v>
      </c>
      <c r="R72" s="48">
        <f t="shared" si="16"/>
        <v>1569</v>
      </c>
      <c r="S72" s="52">
        <v>222</v>
      </c>
      <c r="T72" s="52">
        <v>588</v>
      </c>
      <c r="U72" s="52">
        <f t="shared" si="17"/>
        <v>11.76</v>
      </c>
      <c r="V72" s="52">
        <f>385+55+66</f>
        <v>506</v>
      </c>
      <c r="W72" s="52">
        <v>209</v>
      </c>
      <c r="X72" s="53">
        <v>44</v>
      </c>
      <c r="Y72" s="43" t="s">
        <v>128</v>
      </c>
    </row>
    <row r="73" spans="1:45" hidden="1" x14ac:dyDescent="0.3">
      <c r="A73" s="300"/>
      <c r="B73" s="291"/>
      <c r="C73" s="296"/>
      <c r="D73" s="18" t="s">
        <v>406</v>
      </c>
      <c r="E73" s="76">
        <v>9810592000163</v>
      </c>
      <c r="F73" s="16">
        <v>120</v>
      </c>
      <c r="G73" s="8" t="s">
        <v>8</v>
      </c>
      <c r="H73" s="26" t="s">
        <v>27</v>
      </c>
      <c r="I73" s="26" t="s">
        <v>30</v>
      </c>
      <c r="J73" s="26" t="s">
        <v>77</v>
      </c>
      <c r="K73" s="67">
        <v>17000</v>
      </c>
      <c r="L73" s="131">
        <f t="shared" si="18"/>
        <v>4420</v>
      </c>
      <c r="M73" s="157">
        <f t="shared" si="14"/>
        <v>0.1188235294117647</v>
      </c>
      <c r="N73" s="131">
        <f t="shared" si="19"/>
        <v>10200</v>
      </c>
      <c r="O73" s="132">
        <f t="shared" si="15"/>
        <v>0.45882352941176469</v>
      </c>
      <c r="P73" s="73">
        <v>2400</v>
      </c>
      <c r="Q73" s="56">
        <f t="shared" si="20"/>
        <v>189</v>
      </c>
      <c r="R73" s="48">
        <f t="shared" si="16"/>
        <v>2211</v>
      </c>
      <c r="S73" s="52">
        <v>910</v>
      </c>
      <c r="T73" s="52">
        <v>575</v>
      </c>
      <c r="U73" s="52">
        <f t="shared" si="17"/>
        <v>4.791666666666667</v>
      </c>
      <c r="V73" s="52">
        <f>330+110</f>
        <v>440</v>
      </c>
      <c r="W73" s="52">
        <v>286</v>
      </c>
      <c r="X73" s="52"/>
      <c r="Y73" s="41" t="s">
        <v>129</v>
      </c>
    </row>
    <row r="74" spans="1:45" hidden="1" x14ac:dyDescent="0.3">
      <c r="A74" s="300"/>
      <c r="B74" s="291"/>
      <c r="C74" s="296"/>
      <c r="D74" s="18" t="s">
        <v>407</v>
      </c>
      <c r="E74" s="76">
        <v>9810592000160</v>
      </c>
      <c r="F74" s="16">
        <v>65</v>
      </c>
      <c r="G74" s="8" t="s">
        <v>8</v>
      </c>
      <c r="H74" s="26" t="s">
        <v>12</v>
      </c>
      <c r="I74" s="26" t="s">
        <v>31</v>
      </c>
      <c r="J74" s="26" t="s">
        <v>77</v>
      </c>
      <c r="K74" s="67">
        <v>16000</v>
      </c>
      <c r="L74" s="131">
        <f t="shared" si="18"/>
        <v>4160</v>
      </c>
      <c r="M74" s="157">
        <f t="shared" si="14"/>
        <v>0.13500000000000001</v>
      </c>
      <c r="N74" s="131">
        <f t="shared" si="19"/>
        <v>9600</v>
      </c>
      <c r="O74" s="132">
        <f t="shared" si="15"/>
        <v>0.47499999999999998</v>
      </c>
      <c r="P74" s="73">
        <v>2000</v>
      </c>
      <c r="Q74" s="56">
        <f t="shared" si="20"/>
        <v>162</v>
      </c>
      <c r="R74" s="48">
        <f t="shared" si="16"/>
        <v>1838</v>
      </c>
      <c r="S74" s="52">
        <v>500</v>
      </c>
      <c r="T74" s="52">
        <v>370</v>
      </c>
      <c r="U74" s="52">
        <f t="shared" si="17"/>
        <v>5.6923076923076925</v>
      </c>
      <c r="V74" s="52">
        <v>748</v>
      </c>
      <c r="W74" s="52">
        <v>220</v>
      </c>
      <c r="X74" s="52">
        <v>0</v>
      </c>
      <c r="Y74" s="43" t="s">
        <v>135</v>
      </c>
    </row>
    <row r="75" spans="1:45" hidden="1" x14ac:dyDescent="0.3">
      <c r="A75" s="300"/>
      <c r="B75" s="291"/>
      <c r="C75" s="296"/>
      <c r="D75" s="18" t="s">
        <v>408</v>
      </c>
      <c r="E75" s="76">
        <v>9810592000159</v>
      </c>
      <c r="F75" s="12">
        <v>30</v>
      </c>
      <c r="G75" s="8" t="s">
        <v>16</v>
      </c>
      <c r="H75" s="26" t="s">
        <v>12</v>
      </c>
      <c r="I75" s="26" t="s">
        <v>32</v>
      </c>
      <c r="J75" s="26" t="s">
        <v>77</v>
      </c>
      <c r="K75" s="67">
        <v>20000</v>
      </c>
      <c r="L75" s="131">
        <f t="shared" si="18"/>
        <v>5200</v>
      </c>
      <c r="M75" s="157">
        <f t="shared" si="14"/>
        <v>0.14499999999999999</v>
      </c>
      <c r="N75" s="131">
        <f t="shared" si="19"/>
        <v>12000</v>
      </c>
      <c r="O75" s="132">
        <f t="shared" si="15"/>
        <v>0.48499999999999999</v>
      </c>
      <c r="P75" s="73">
        <v>2300</v>
      </c>
      <c r="Q75" s="56">
        <f t="shared" si="20"/>
        <v>206</v>
      </c>
      <c r="R75" s="48">
        <f t="shared" si="16"/>
        <v>2094</v>
      </c>
      <c r="S75" s="52">
        <v>202</v>
      </c>
      <c r="T75" s="52">
        <v>198</v>
      </c>
      <c r="U75" s="52">
        <f t="shared" si="17"/>
        <v>6.6</v>
      </c>
      <c r="V75" s="52">
        <v>1496</v>
      </c>
      <c r="W75" s="52">
        <v>198</v>
      </c>
      <c r="X75" s="52">
        <v>0</v>
      </c>
      <c r="Y75" s="43" t="s">
        <v>137</v>
      </c>
    </row>
    <row r="76" spans="1:45" hidden="1" x14ac:dyDescent="0.3">
      <c r="A76" s="300"/>
      <c r="B76" s="291"/>
      <c r="C76" s="296"/>
      <c r="D76" s="18" t="s">
        <v>409</v>
      </c>
      <c r="E76" s="76">
        <v>9810592000161</v>
      </c>
      <c r="F76" s="12">
        <v>152</v>
      </c>
      <c r="G76" s="8" t="s">
        <v>16</v>
      </c>
      <c r="H76" s="26" t="s">
        <v>12</v>
      </c>
      <c r="I76" s="26" t="s">
        <v>33</v>
      </c>
      <c r="J76" s="26" t="s">
        <v>77</v>
      </c>
      <c r="K76" s="67">
        <v>19000</v>
      </c>
      <c r="L76" s="131">
        <f t="shared" si="18"/>
        <v>4940</v>
      </c>
      <c r="M76" s="157">
        <f t="shared" si="14"/>
        <v>9.1578947368421051E-2</v>
      </c>
      <c r="N76" s="131">
        <f t="shared" si="19"/>
        <v>11400</v>
      </c>
      <c r="O76" s="132">
        <f t="shared" si="15"/>
        <v>0.43157894736842106</v>
      </c>
      <c r="P76" s="73">
        <v>3200</v>
      </c>
      <c r="Q76" s="56">
        <f t="shared" si="20"/>
        <v>180</v>
      </c>
      <c r="R76" s="48">
        <f t="shared" si="16"/>
        <v>3020</v>
      </c>
      <c r="S76" s="52">
        <v>800</v>
      </c>
      <c r="T76" s="52">
        <v>600</v>
      </c>
      <c r="U76" s="52">
        <f t="shared" si="17"/>
        <v>3.9473684210526314</v>
      </c>
      <c r="V76" s="52">
        <v>1403</v>
      </c>
      <c r="W76" s="52">
        <v>217</v>
      </c>
      <c r="X76" s="52">
        <v>0</v>
      </c>
      <c r="Y76" s="43" t="s">
        <v>137</v>
      </c>
    </row>
    <row r="77" spans="1:45" hidden="1" x14ac:dyDescent="0.3">
      <c r="A77" s="300"/>
      <c r="B77" s="291"/>
      <c r="C77" s="296"/>
      <c r="D77" s="115" t="s">
        <v>410</v>
      </c>
      <c r="E77" s="150">
        <v>9810592000155</v>
      </c>
      <c r="F77" s="12">
        <v>50</v>
      </c>
      <c r="G77" s="8" t="s">
        <v>16</v>
      </c>
      <c r="H77" s="26" t="s">
        <v>104</v>
      </c>
      <c r="I77" s="26" t="s">
        <v>162</v>
      </c>
      <c r="J77" s="26" t="s">
        <v>77</v>
      </c>
      <c r="K77" s="67">
        <v>22000</v>
      </c>
      <c r="L77" s="131">
        <f t="shared" si="18"/>
        <v>5720</v>
      </c>
      <c r="M77" s="157">
        <f t="shared" si="14"/>
        <v>9.636363636363636E-2</v>
      </c>
      <c r="N77" s="131">
        <f t="shared" si="19"/>
        <v>13200</v>
      </c>
      <c r="O77" s="132">
        <f t="shared" si="15"/>
        <v>0.43636363636363634</v>
      </c>
      <c r="P77" s="73">
        <v>3600</v>
      </c>
      <c r="Q77" s="56">
        <f t="shared" si="20"/>
        <v>355</v>
      </c>
      <c r="R77" s="48">
        <f t="shared" si="16"/>
        <v>3245</v>
      </c>
      <c r="S77" s="52">
        <v>700</v>
      </c>
      <c r="T77" s="52">
        <v>510</v>
      </c>
      <c r="U77" s="52">
        <f t="shared" si="17"/>
        <v>10.199999999999999</v>
      </c>
      <c r="V77" s="52">
        <v>1716</v>
      </c>
      <c r="W77" s="53">
        <f>290*1.1</f>
        <v>319</v>
      </c>
      <c r="X77" s="52">
        <v>0</v>
      </c>
      <c r="Y77" s="42" t="s">
        <v>126</v>
      </c>
      <c r="Z77" s="116" t="s">
        <v>296</v>
      </c>
    </row>
    <row r="78" spans="1:45" hidden="1" x14ac:dyDescent="0.3">
      <c r="A78" s="300"/>
      <c r="B78" s="291"/>
      <c r="C78" s="296"/>
      <c r="D78" s="18" t="s">
        <v>411</v>
      </c>
      <c r="E78" s="76">
        <v>9810592000164</v>
      </c>
      <c r="F78" s="12">
        <v>50</v>
      </c>
      <c r="G78" s="8" t="s">
        <v>8</v>
      </c>
      <c r="H78" s="26" t="s">
        <v>12</v>
      </c>
      <c r="I78" s="26" t="s">
        <v>33</v>
      </c>
      <c r="J78" s="26" t="s">
        <v>77</v>
      </c>
      <c r="K78" s="67">
        <v>20000</v>
      </c>
      <c r="L78" s="131">
        <f t="shared" si="18"/>
        <v>5200</v>
      </c>
      <c r="M78" s="157">
        <f t="shared" si="14"/>
        <v>0.13500000000000001</v>
      </c>
      <c r="N78" s="131">
        <f t="shared" si="19"/>
        <v>12000</v>
      </c>
      <c r="O78" s="132">
        <f t="shared" si="15"/>
        <v>0.47499999999999998</v>
      </c>
      <c r="P78" s="73">
        <v>2500</v>
      </c>
      <c r="Q78" s="56">
        <f t="shared" si="20"/>
        <v>310</v>
      </c>
      <c r="R78" s="48">
        <f t="shared" si="16"/>
        <v>2190</v>
      </c>
      <c r="S78" s="52">
        <v>500</v>
      </c>
      <c r="T78" s="52">
        <v>350</v>
      </c>
      <c r="U78" s="52">
        <f t="shared" si="17"/>
        <v>7</v>
      </c>
      <c r="V78" s="52">
        <v>1216</v>
      </c>
      <c r="W78" s="52">
        <v>124</v>
      </c>
      <c r="X78" s="52">
        <v>0</v>
      </c>
      <c r="Y78" s="43" t="s">
        <v>137</v>
      </c>
    </row>
    <row r="79" spans="1:45" hidden="1" x14ac:dyDescent="0.3">
      <c r="A79" s="300"/>
      <c r="B79" s="291"/>
      <c r="C79" s="296"/>
      <c r="D79" s="19" t="s">
        <v>412</v>
      </c>
      <c r="E79" s="76">
        <v>9810592000393</v>
      </c>
      <c r="F79" s="16">
        <v>30</v>
      </c>
      <c r="G79" s="8" t="s">
        <v>16</v>
      </c>
      <c r="H79" s="26" t="s">
        <v>34</v>
      </c>
      <c r="I79" s="26" t="s">
        <v>35</v>
      </c>
      <c r="J79" s="26" t="s">
        <v>77</v>
      </c>
      <c r="K79" s="67">
        <v>12000</v>
      </c>
      <c r="L79" s="131">
        <f t="shared" si="18"/>
        <v>3120</v>
      </c>
      <c r="M79" s="157">
        <f t="shared" si="14"/>
        <v>0.10166666666666667</v>
      </c>
      <c r="N79" s="131">
        <f t="shared" si="19"/>
        <v>7200</v>
      </c>
      <c r="O79" s="132">
        <f t="shared" si="15"/>
        <v>0.44166666666666665</v>
      </c>
      <c r="P79" s="73">
        <v>1900</v>
      </c>
      <c r="Q79" s="56">
        <f t="shared" si="20"/>
        <v>170</v>
      </c>
      <c r="R79" s="48">
        <f t="shared" si="16"/>
        <v>1730</v>
      </c>
      <c r="S79" s="52">
        <v>800</v>
      </c>
      <c r="T79" s="52">
        <v>388</v>
      </c>
      <c r="U79" s="52">
        <f t="shared" si="17"/>
        <v>12.933333333333334</v>
      </c>
      <c r="V79" s="52">
        <v>352</v>
      </c>
      <c r="W79" s="52">
        <v>190</v>
      </c>
      <c r="X79" s="52">
        <v>0</v>
      </c>
      <c r="Y79" s="41" t="s">
        <v>116</v>
      </c>
    </row>
    <row r="80" spans="1:45" hidden="1" x14ac:dyDescent="0.3">
      <c r="A80" s="300"/>
      <c r="B80" s="291"/>
      <c r="C80" s="296"/>
      <c r="D80" s="19" t="s">
        <v>413</v>
      </c>
      <c r="E80" s="76">
        <v>9810592000392</v>
      </c>
      <c r="F80" s="16">
        <v>30</v>
      </c>
      <c r="G80" s="8" t="s">
        <v>16</v>
      </c>
      <c r="H80" s="26" t="s">
        <v>34</v>
      </c>
      <c r="I80" s="26" t="s">
        <v>35</v>
      </c>
      <c r="J80" s="26" t="s">
        <v>77</v>
      </c>
      <c r="K80" s="67">
        <v>12000</v>
      </c>
      <c r="L80" s="131">
        <f t="shared" si="18"/>
        <v>3120</v>
      </c>
      <c r="M80" s="157">
        <f t="shared" si="14"/>
        <v>0.10166666666666667</v>
      </c>
      <c r="N80" s="131">
        <f t="shared" si="19"/>
        <v>7200</v>
      </c>
      <c r="O80" s="132">
        <f t="shared" si="15"/>
        <v>0.44166666666666665</v>
      </c>
      <c r="P80" s="73">
        <v>1900</v>
      </c>
      <c r="Q80" s="56">
        <f t="shared" si="20"/>
        <v>170</v>
      </c>
      <c r="R80" s="48">
        <f t="shared" si="16"/>
        <v>1730</v>
      </c>
      <c r="S80" s="52">
        <v>800</v>
      </c>
      <c r="T80" s="52">
        <v>388</v>
      </c>
      <c r="U80" s="52">
        <f t="shared" si="17"/>
        <v>12.933333333333334</v>
      </c>
      <c r="V80" s="52">
        <v>352</v>
      </c>
      <c r="W80" s="52">
        <v>190</v>
      </c>
      <c r="X80" s="52">
        <v>0</v>
      </c>
      <c r="Y80" s="41" t="s">
        <v>116</v>
      </c>
    </row>
    <row r="81" spans="1:28" hidden="1" x14ac:dyDescent="0.3">
      <c r="A81" s="300"/>
      <c r="B81" s="291" t="s">
        <v>102</v>
      </c>
      <c r="C81" s="296" t="s">
        <v>36</v>
      </c>
      <c r="D81" s="18" t="s">
        <v>414</v>
      </c>
      <c r="E81" s="76">
        <v>9810592000192</v>
      </c>
      <c r="F81" s="12">
        <v>100</v>
      </c>
      <c r="G81" s="8" t="s">
        <v>8</v>
      </c>
      <c r="H81" s="26" t="s">
        <v>27</v>
      </c>
      <c r="I81" s="26" t="s">
        <v>35</v>
      </c>
      <c r="J81" s="26" t="s">
        <v>76</v>
      </c>
      <c r="K81" s="67">
        <v>18000</v>
      </c>
      <c r="L81" s="131">
        <f t="shared" si="18"/>
        <v>4680</v>
      </c>
      <c r="M81" s="157">
        <f t="shared" si="14"/>
        <v>0.16555555555555557</v>
      </c>
      <c r="N81" s="131">
        <f t="shared" si="19"/>
        <v>10800</v>
      </c>
      <c r="O81" s="132">
        <f t="shared" si="15"/>
        <v>0.50555555555555554</v>
      </c>
      <c r="P81" s="73">
        <v>1700</v>
      </c>
      <c r="Q81" s="56">
        <f t="shared" si="20"/>
        <v>220.5</v>
      </c>
      <c r="R81" s="48">
        <f t="shared" si="16"/>
        <v>1479.5</v>
      </c>
      <c r="S81" s="52">
        <v>590</v>
      </c>
      <c r="T81" s="52">
        <v>334</v>
      </c>
      <c r="U81" s="52">
        <f t="shared" si="17"/>
        <v>3.34</v>
      </c>
      <c r="V81" s="52">
        <v>407</v>
      </c>
      <c r="W81" s="53">
        <f>135*1.1</f>
        <v>148.5</v>
      </c>
      <c r="X81" s="52"/>
      <c r="Y81" s="43" t="s">
        <v>138</v>
      </c>
      <c r="AA81" s="40" t="s">
        <v>202</v>
      </c>
      <c r="AB81" s="40">
        <v>5</v>
      </c>
    </row>
    <row r="82" spans="1:28" hidden="1" x14ac:dyDescent="0.3">
      <c r="A82" s="300"/>
      <c r="B82" s="294"/>
      <c r="C82" s="296"/>
      <c r="D82" s="18" t="s">
        <v>415</v>
      </c>
      <c r="E82" s="76">
        <v>9810592000195</v>
      </c>
      <c r="F82" s="12">
        <v>100</v>
      </c>
      <c r="G82" s="8" t="s">
        <v>8</v>
      </c>
      <c r="H82" s="26" t="s">
        <v>27</v>
      </c>
      <c r="I82" s="26" t="s">
        <v>97</v>
      </c>
      <c r="J82" s="26" t="s">
        <v>76</v>
      </c>
      <c r="K82" s="67">
        <v>17000</v>
      </c>
      <c r="L82" s="131">
        <f t="shared" si="18"/>
        <v>4420</v>
      </c>
      <c r="M82" s="157">
        <f t="shared" si="14"/>
        <v>0.13058823529411764</v>
      </c>
      <c r="N82" s="131">
        <f t="shared" si="19"/>
        <v>10200</v>
      </c>
      <c r="O82" s="132">
        <f t="shared" si="15"/>
        <v>0.47058823529411764</v>
      </c>
      <c r="P82" s="73">
        <v>2200</v>
      </c>
      <c r="Q82" s="56">
        <f t="shared" si="20"/>
        <v>203.5</v>
      </c>
      <c r="R82" s="48">
        <f t="shared" si="16"/>
        <v>1996.5</v>
      </c>
      <c r="S82" s="52">
        <v>690</v>
      </c>
      <c r="T82" s="52">
        <v>509</v>
      </c>
      <c r="U82" s="52">
        <f t="shared" si="17"/>
        <v>5.09</v>
      </c>
      <c r="V82" s="53">
        <f>418+121+49.5</f>
        <v>588.5</v>
      </c>
      <c r="W82" s="52">
        <v>209</v>
      </c>
      <c r="X82" s="52"/>
      <c r="Y82" s="41" t="s">
        <v>130</v>
      </c>
    </row>
    <row r="83" spans="1:28" hidden="1" x14ac:dyDescent="0.3">
      <c r="A83" s="300"/>
      <c r="B83" s="294"/>
      <c r="C83" s="296"/>
      <c r="D83" s="18" t="s">
        <v>416</v>
      </c>
      <c r="E83" s="76">
        <v>9810592000193</v>
      </c>
      <c r="F83" s="16">
        <v>250</v>
      </c>
      <c r="G83" s="8" t="s">
        <v>16</v>
      </c>
      <c r="H83" s="26" t="s">
        <v>27</v>
      </c>
      <c r="I83" s="26" t="s">
        <v>30</v>
      </c>
      <c r="J83" s="26"/>
      <c r="K83" s="67">
        <v>10000</v>
      </c>
      <c r="L83" s="131">
        <f t="shared" si="18"/>
        <v>2600</v>
      </c>
      <c r="M83" s="157">
        <f t="shared" si="14"/>
        <v>0.11</v>
      </c>
      <c r="N83" s="131">
        <f t="shared" si="19"/>
        <v>6000</v>
      </c>
      <c r="O83" s="132">
        <f t="shared" si="15"/>
        <v>0.45</v>
      </c>
      <c r="P83" s="73">
        <v>1500</v>
      </c>
      <c r="Q83" s="56">
        <f t="shared" si="20"/>
        <v>119</v>
      </c>
      <c r="R83" s="48">
        <f t="shared" si="16"/>
        <v>1381</v>
      </c>
      <c r="S83" s="52">
        <v>510</v>
      </c>
      <c r="T83" s="52">
        <v>337</v>
      </c>
      <c r="U83" s="52">
        <f t="shared" si="17"/>
        <v>1.3480000000000001</v>
      </c>
      <c r="V83" s="52">
        <f>220+88+44</f>
        <v>352</v>
      </c>
      <c r="W83" s="52">
        <v>0</v>
      </c>
      <c r="X83" s="53">
        <f>17+165</f>
        <v>182</v>
      </c>
      <c r="Y83" s="43" t="s">
        <v>139</v>
      </c>
    </row>
    <row r="84" spans="1:28" hidden="1" x14ac:dyDescent="0.3">
      <c r="A84" s="300"/>
      <c r="B84" s="294"/>
      <c r="C84" s="296"/>
      <c r="D84" s="18" t="s">
        <v>417</v>
      </c>
      <c r="E84" s="76">
        <v>9810592000194</v>
      </c>
      <c r="F84" s="12">
        <v>100</v>
      </c>
      <c r="G84" s="8" t="s">
        <v>16</v>
      </c>
      <c r="H84" s="26" t="s">
        <v>27</v>
      </c>
      <c r="I84" s="26" t="s">
        <v>97</v>
      </c>
      <c r="J84" s="26"/>
      <c r="K84" s="67">
        <v>10000</v>
      </c>
      <c r="L84" s="131">
        <f t="shared" si="18"/>
        <v>2600</v>
      </c>
      <c r="M84" s="157">
        <f t="shared" si="14"/>
        <v>0.1</v>
      </c>
      <c r="N84" s="131">
        <f t="shared" si="19"/>
        <v>6000</v>
      </c>
      <c r="O84" s="132">
        <f t="shared" si="15"/>
        <v>0.44</v>
      </c>
      <c r="P84" s="73">
        <v>1600</v>
      </c>
      <c r="Q84" s="56">
        <f t="shared" si="20"/>
        <v>421</v>
      </c>
      <c r="R84" s="48">
        <f t="shared" si="16"/>
        <v>1179</v>
      </c>
      <c r="S84" s="52">
        <v>390</v>
      </c>
      <c r="T84" s="52">
        <v>314</v>
      </c>
      <c r="U84" s="52">
        <f t="shared" si="17"/>
        <v>3.14</v>
      </c>
      <c r="V84" s="52">
        <f>330+77+38.5</f>
        <v>445.5</v>
      </c>
      <c r="W84" s="52">
        <v>0</v>
      </c>
      <c r="X84" s="53">
        <f>13+16.5</f>
        <v>29.5</v>
      </c>
      <c r="Y84" s="43" t="s">
        <v>139</v>
      </c>
    </row>
    <row r="85" spans="1:28" hidden="1" x14ac:dyDescent="0.3">
      <c r="A85" s="300"/>
      <c r="B85" s="294"/>
      <c r="C85" s="296"/>
      <c r="D85" s="81" t="s">
        <v>418</v>
      </c>
      <c r="E85" s="76">
        <v>9810592000390</v>
      </c>
      <c r="F85" s="16">
        <v>100</v>
      </c>
      <c r="G85" s="8" t="s">
        <v>8</v>
      </c>
      <c r="H85" s="26" t="s">
        <v>38</v>
      </c>
      <c r="I85" s="26" t="s">
        <v>28</v>
      </c>
      <c r="J85" s="26" t="s">
        <v>77</v>
      </c>
      <c r="K85" s="67">
        <v>26000</v>
      </c>
      <c r="L85" s="131">
        <f t="shared" si="18"/>
        <v>6760</v>
      </c>
      <c r="M85" s="157">
        <f t="shared" si="14"/>
        <v>0.13307692307692306</v>
      </c>
      <c r="N85" s="131">
        <f t="shared" si="19"/>
        <v>15600</v>
      </c>
      <c r="O85" s="132">
        <f t="shared" si="15"/>
        <v>0.47307692307692306</v>
      </c>
      <c r="P85" s="73">
        <v>3300</v>
      </c>
      <c r="Q85" s="56">
        <f t="shared" si="20"/>
        <v>192</v>
      </c>
      <c r="R85" s="48">
        <f t="shared" si="16"/>
        <v>3108</v>
      </c>
      <c r="S85" s="52">
        <v>860</v>
      </c>
      <c r="T85" s="52">
        <v>1340</v>
      </c>
      <c r="U85" s="52">
        <f t="shared" si="17"/>
        <v>13.4</v>
      </c>
      <c r="V85" s="52">
        <v>589</v>
      </c>
      <c r="W85" s="52">
        <v>275</v>
      </c>
      <c r="X85" s="53">
        <v>44</v>
      </c>
      <c r="Y85" s="41" t="s">
        <v>115</v>
      </c>
    </row>
    <row r="86" spans="1:28" hidden="1" x14ac:dyDescent="0.3">
      <c r="A86" s="300"/>
      <c r="B86" s="291" t="s">
        <v>103</v>
      </c>
      <c r="C86" s="296" t="s">
        <v>41</v>
      </c>
      <c r="D86" s="18" t="s">
        <v>419</v>
      </c>
      <c r="E86" s="76">
        <v>9810592000116</v>
      </c>
      <c r="F86" s="12">
        <v>150</v>
      </c>
      <c r="G86" s="8" t="s">
        <v>16</v>
      </c>
      <c r="H86" s="26" t="s">
        <v>12</v>
      </c>
      <c r="I86" s="26" t="s">
        <v>32</v>
      </c>
      <c r="J86" s="26" t="s">
        <v>78</v>
      </c>
      <c r="K86" s="67">
        <v>22000</v>
      </c>
      <c r="L86" s="131">
        <f t="shared" si="18"/>
        <v>5720</v>
      </c>
      <c r="M86" s="157">
        <f t="shared" si="14"/>
        <v>0.10090909090909091</v>
      </c>
      <c r="N86" s="131">
        <f t="shared" si="19"/>
        <v>13200</v>
      </c>
      <c r="O86" s="132">
        <f t="shared" si="15"/>
        <v>0.44090909090909092</v>
      </c>
      <c r="P86" s="73">
        <v>3500</v>
      </c>
      <c r="Q86" s="56">
        <f t="shared" si="20"/>
        <v>529</v>
      </c>
      <c r="R86" s="48">
        <f t="shared" si="16"/>
        <v>2971</v>
      </c>
      <c r="S86" s="52">
        <v>900</v>
      </c>
      <c r="T86" s="52">
        <v>520</v>
      </c>
      <c r="U86" s="52">
        <f t="shared" si="17"/>
        <v>3.4666666666666668</v>
      </c>
      <c r="V86" s="52">
        <v>1364</v>
      </c>
      <c r="W86" s="52">
        <v>187</v>
      </c>
      <c r="X86" s="52">
        <v>0</v>
      </c>
      <c r="Y86" s="43" t="s">
        <v>137</v>
      </c>
      <c r="AA86" s="40" t="s">
        <v>203</v>
      </c>
      <c r="AB86" s="40">
        <v>5</v>
      </c>
    </row>
    <row r="87" spans="1:28" hidden="1" x14ac:dyDescent="0.3">
      <c r="A87" s="300"/>
      <c r="B87" s="294"/>
      <c r="C87" s="296"/>
      <c r="D87" s="18" t="s">
        <v>501</v>
      </c>
      <c r="E87" s="76">
        <v>9810592000118</v>
      </c>
      <c r="F87" s="12">
        <v>150</v>
      </c>
      <c r="G87" s="8" t="s">
        <v>16</v>
      </c>
      <c r="H87" s="26" t="s">
        <v>12</v>
      </c>
      <c r="I87" s="26" t="s">
        <v>33</v>
      </c>
      <c r="J87" s="26" t="s">
        <v>78</v>
      </c>
      <c r="K87" s="67">
        <v>22000</v>
      </c>
      <c r="L87" s="131">
        <f t="shared" si="18"/>
        <v>5720</v>
      </c>
      <c r="M87" s="157">
        <f t="shared" si="14"/>
        <v>9.1818181818181813E-2</v>
      </c>
      <c r="N87" s="131">
        <f t="shared" si="19"/>
        <v>13200</v>
      </c>
      <c r="O87" s="132">
        <f t="shared" si="15"/>
        <v>0.43181818181818182</v>
      </c>
      <c r="P87" s="73">
        <v>3700</v>
      </c>
      <c r="Q87" s="56">
        <f t="shared" si="20"/>
        <v>399</v>
      </c>
      <c r="R87" s="48">
        <f t="shared" si="16"/>
        <v>3301</v>
      </c>
      <c r="S87" s="52">
        <v>1100</v>
      </c>
      <c r="T87" s="52">
        <v>650</v>
      </c>
      <c r="U87" s="52">
        <f t="shared" si="17"/>
        <v>4.333333333333333</v>
      </c>
      <c r="V87" s="52">
        <v>1364</v>
      </c>
      <c r="W87" s="52">
        <v>187</v>
      </c>
      <c r="X87" s="52">
        <v>0</v>
      </c>
      <c r="Y87" s="43" t="s">
        <v>137</v>
      </c>
    </row>
    <row r="88" spans="1:28" hidden="1" x14ac:dyDescent="0.3">
      <c r="A88" s="300"/>
      <c r="B88" s="294"/>
      <c r="C88" s="296"/>
      <c r="D88" s="18" t="s">
        <v>420</v>
      </c>
      <c r="E88" s="76">
        <v>9810592000119</v>
      </c>
      <c r="F88" s="12">
        <v>30</v>
      </c>
      <c r="G88" s="8" t="s">
        <v>16</v>
      </c>
      <c r="H88" s="26" t="s">
        <v>12</v>
      </c>
      <c r="I88" s="26" t="s">
        <v>33</v>
      </c>
      <c r="J88" s="26" t="s">
        <v>78</v>
      </c>
      <c r="K88" s="67">
        <v>28000</v>
      </c>
      <c r="L88" s="131">
        <f t="shared" si="18"/>
        <v>7280</v>
      </c>
      <c r="M88" s="157">
        <f t="shared" si="14"/>
        <v>0.14214285714285715</v>
      </c>
      <c r="N88" s="131">
        <f t="shared" si="19"/>
        <v>16800</v>
      </c>
      <c r="O88" s="132">
        <f t="shared" si="15"/>
        <v>0.48214285714285715</v>
      </c>
      <c r="P88" s="73">
        <v>3300</v>
      </c>
      <c r="Q88" s="56">
        <f t="shared" si="20"/>
        <v>413</v>
      </c>
      <c r="R88" s="48">
        <f t="shared" si="16"/>
        <v>2887</v>
      </c>
      <c r="S88" s="52">
        <v>900</v>
      </c>
      <c r="T88" s="52">
        <v>590</v>
      </c>
      <c r="U88" s="52">
        <f t="shared" si="17"/>
        <v>19.666666666666668</v>
      </c>
      <c r="V88" s="52">
        <v>1221</v>
      </c>
      <c r="W88" s="52">
        <v>176</v>
      </c>
      <c r="X88" s="52"/>
      <c r="Y88" s="43" t="s">
        <v>137</v>
      </c>
    </row>
    <row r="89" spans="1:28" hidden="1" x14ac:dyDescent="0.3">
      <c r="A89" s="300"/>
      <c r="B89" s="294"/>
      <c r="C89" s="296"/>
      <c r="D89" s="18" t="s">
        <v>421</v>
      </c>
      <c r="E89" s="76">
        <v>9810592000117</v>
      </c>
      <c r="F89" s="12">
        <v>50</v>
      </c>
      <c r="G89" s="8" t="s">
        <v>8</v>
      </c>
      <c r="H89" s="26" t="s">
        <v>12</v>
      </c>
      <c r="I89" s="26" t="s">
        <v>33</v>
      </c>
      <c r="J89" s="26" t="s">
        <v>78</v>
      </c>
      <c r="K89" s="67">
        <v>22000</v>
      </c>
      <c r="L89" s="131">
        <f t="shared" si="18"/>
        <v>5720</v>
      </c>
      <c r="M89" s="157">
        <f t="shared" si="14"/>
        <v>0.13272727272727272</v>
      </c>
      <c r="N89" s="131">
        <f t="shared" si="19"/>
        <v>13200</v>
      </c>
      <c r="O89" s="132">
        <f t="shared" si="15"/>
        <v>0.47272727272727272</v>
      </c>
      <c r="P89" s="73">
        <v>2800</v>
      </c>
      <c r="Q89" s="56">
        <f t="shared" si="20"/>
        <v>323</v>
      </c>
      <c r="R89" s="48">
        <f t="shared" si="16"/>
        <v>2477</v>
      </c>
      <c r="S89" s="52">
        <v>700</v>
      </c>
      <c r="T89" s="52">
        <v>490</v>
      </c>
      <c r="U89" s="52">
        <f t="shared" si="17"/>
        <v>9.8000000000000007</v>
      </c>
      <c r="V89" s="52">
        <v>1100</v>
      </c>
      <c r="W89" s="52">
        <v>187</v>
      </c>
      <c r="X89" s="52"/>
      <c r="Y89" s="43" t="s">
        <v>137</v>
      </c>
    </row>
    <row r="90" spans="1:28" hidden="1" x14ac:dyDescent="0.3">
      <c r="A90" s="300"/>
      <c r="B90" s="294"/>
      <c r="C90" s="296"/>
      <c r="D90" s="18" t="s">
        <v>422</v>
      </c>
      <c r="E90" s="76">
        <v>9810592000120</v>
      </c>
      <c r="F90" s="12">
        <v>15</v>
      </c>
      <c r="G90" s="8" t="s">
        <v>8</v>
      </c>
      <c r="H90" s="26" t="s">
        <v>12</v>
      </c>
      <c r="I90" s="26" t="s">
        <v>33</v>
      </c>
      <c r="J90" s="26" t="s">
        <v>78</v>
      </c>
      <c r="K90" s="67">
        <v>19000</v>
      </c>
      <c r="L90" s="131">
        <f t="shared" si="18"/>
        <v>4940</v>
      </c>
      <c r="M90" s="157">
        <f t="shared" si="14"/>
        <v>0.12315789473684211</v>
      </c>
      <c r="N90" s="131">
        <f t="shared" si="19"/>
        <v>11400</v>
      </c>
      <c r="O90" s="132">
        <f t="shared" si="15"/>
        <v>0.4631578947368421</v>
      </c>
      <c r="P90" s="73">
        <v>2600</v>
      </c>
      <c r="Q90" s="56">
        <f t="shared" si="20"/>
        <v>259</v>
      </c>
      <c r="R90" s="48">
        <f t="shared" si="16"/>
        <v>2341</v>
      </c>
      <c r="S90" s="52">
        <v>308</v>
      </c>
      <c r="T90" s="52">
        <v>592</v>
      </c>
      <c r="U90" s="52">
        <f t="shared" si="17"/>
        <v>39.466666666666669</v>
      </c>
      <c r="V90" s="52">
        <v>1232</v>
      </c>
      <c r="W90" s="52">
        <v>209</v>
      </c>
      <c r="X90" s="52"/>
      <c r="Y90" s="43" t="s">
        <v>137</v>
      </c>
    </row>
    <row r="91" spans="1:28" hidden="1" x14ac:dyDescent="0.3">
      <c r="A91" s="300"/>
      <c r="B91" s="299" t="s">
        <v>42</v>
      </c>
      <c r="C91" s="296" t="s">
        <v>43</v>
      </c>
      <c r="D91" s="18" t="s">
        <v>423</v>
      </c>
      <c r="E91" s="76">
        <v>9810592000166</v>
      </c>
      <c r="F91" s="12">
        <v>150</v>
      </c>
      <c r="G91" s="8" t="s">
        <v>16</v>
      </c>
      <c r="H91" s="26" t="s">
        <v>12</v>
      </c>
      <c r="I91" s="26" t="s">
        <v>97</v>
      </c>
      <c r="J91" s="26" t="s">
        <v>78</v>
      </c>
      <c r="K91" s="67">
        <v>13000</v>
      </c>
      <c r="L91" s="131">
        <f t="shared" si="18"/>
        <v>3380</v>
      </c>
      <c r="M91" s="157">
        <f t="shared" si="14"/>
        <v>0.12923076923076923</v>
      </c>
      <c r="N91" s="131">
        <f t="shared" si="19"/>
        <v>7800</v>
      </c>
      <c r="O91" s="132">
        <f t="shared" si="15"/>
        <v>0.46923076923076923</v>
      </c>
      <c r="P91" s="73">
        <v>1700</v>
      </c>
      <c r="Q91" s="56">
        <f t="shared" si="20"/>
        <v>198.5</v>
      </c>
      <c r="R91" s="48">
        <f t="shared" si="16"/>
        <v>1501.5</v>
      </c>
      <c r="S91" s="52">
        <v>250</v>
      </c>
      <c r="T91" s="52">
        <v>660</v>
      </c>
      <c r="U91" s="52">
        <f t="shared" si="17"/>
        <v>4.4000000000000004</v>
      </c>
      <c r="V91" s="52">
        <f>330+38.5+77</f>
        <v>445.5</v>
      </c>
      <c r="W91" s="53">
        <v>146</v>
      </c>
      <c r="X91" s="52"/>
      <c r="Y91" s="43" t="s">
        <v>137</v>
      </c>
      <c r="AA91" s="40" t="s">
        <v>204</v>
      </c>
      <c r="AB91" s="40">
        <v>7</v>
      </c>
    </row>
    <row r="92" spans="1:28" hidden="1" x14ac:dyDescent="0.3">
      <c r="A92" s="300"/>
      <c r="B92" s="300"/>
      <c r="C92" s="296"/>
      <c r="D92" s="18" t="s">
        <v>424</v>
      </c>
      <c r="E92" s="76">
        <v>9810592000169</v>
      </c>
      <c r="F92" s="12">
        <v>60</v>
      </c>
      <c r="G92" s="8" t="s">
        <v>16</v>
      </c>
      <c r="H92" s="26" t="s">
        <v>12</v>
      </c>
      <c r="I92" s="26" t="s">
        <v>30</v>
      </c>
      <c r="J92" s="26" t="s">
        <v>78</v>
      </c>
      <c r="K92" s="67">
        <v>14000</v>
      </c>
      <c r="L92" s="131">
        <f t="shared" si="18"/>
        <v>3640</v>
      </c>
      <c r="M92" s="157">
        <f t="shared" si="14"/>
        <v>0.13142857142857142</v>
      </c>
      <c r="N92" s="131">
        <f t="shared" si="19"/>
        <v>8400</v>
      </c>
      <c r="O92" s="132">
        <f t="shared" si="15"/>
        <v>0.47142857142857142</v>
      </c>
      <c r="P92" s="73">
        <v>1800</v>
      </c>
      <c r="Q92" s="56">
        <f t="shared" si="20"/>
        <v>218</v>
      </c>
      <c r="R92" s="48">
        <f t="shared" si="16"/>
        <v>1582</v>
      </c>
      <c r="S92" s="52">
        <v>240</v>
      </c>
      <c r="T92" s="52">
        <v>550</v>
      </c>
      <c r="U92" s="52">
        <f t="shared" si="17"/>
        <v>9.1666666666666661</v>
      </c>
      <c r="V92" s="52">
        <f>319+308</f>
        <v>627</v>
      </c>
      <c r="W92" s="52">
        <v>165</v>
      </c>
      <c r="X92" s="52"/>
      <c r="Y92" s="43" t="s">
        <v>137</v>
      </c>
    </row>
    <row r="93" spans="1:28" hidden="1" x14ac:dyDescent="0.3">
      <c r="A93" s="300"/>
      <c r="B93" s="300"/>
      <c r="C93" s="296"/>
      <c r="D93" s="18" t="s">
        <v>425</v>
      </c>
      <c r="E93" s="76">
        <v>9810592000170</v>
      </c>
      <c r="F93" s="12">
        <v>150</v>
      </c>
      <c r="G93" s="8" t="s">
        <v>16</v>
      </c>
      <c r="H93" s="26" t="s">
        <v>12</v>
      </c>
      <c r="I93" s="26" t="s">
        <v>97</v>
      </c>
      <c r="J93" s="26" t="s">
        <v>78</v>
      </c>
      <c r="K93" s="67">
        <v>13000</v>
      </c>
      <c r="L93" s="131">
        <f t="shared" si="18"/>
        <v>3380</v>
      </c>
      <c r="M93" s="157">
        <f t="shared" si="14"/>
        <v>0.10615384615384615</v>
      </c>
      <c r="N93" s="131">
        <f t="shared" si="19"/>
        <v>7800</v>
      </c>
      <c r="O93" s="132">
        <f t="shared" si="15"/>
        <v>0.44615384615384618</v>
      </c>
      <c r="P93" s="73">
        <v>2000</v>
      </c>
      <c r="Q93" s="56">
        <f t="shared" si="20"/>
        <v>228.5</v>
      </c>
      <c r="R93" s="48">
        <f t="shared" si="16"/>
        <v>1771.5</v>
      </c>
      <c r="S93" s="52">
        <v>220</v>
      </c>
      <c r="T93" s="52">
        <v>930</v>
      </c>
      <c r="U93" s="52">
        <f t="shared" si="17"/>
        <v>6.2</v>
      </c>
      <c r="V93" s="52">
        <f>330+38.5+77</f>
        <v>445.5</v>
      </c>
      <c r="W93" s="53">
        <f>160*1.1</f>
        <v>176</v>
      </c>
      <c r="X93" s="52"/>
      <c r="Y93" s="43" t="s">
        <v>137</v>
      </c>
    </row>
    <row r="94" spans="1:28" hidden="1" x14ac:dyDescent="0.3">
      <c r="A94" s="300"/>
      <c r="B94" s="300"/>
      <c r="C94" s="296"/>
      <c r="D94" s="18" t="s">
        <v>426</v>
      </c>
      <c r="E94" s="76">
        <v>9810592000168</v>
      </c>
      <c r="F94" s="12">
        <v>50</v>
      </c>
      <c r="G94" s="8" t="s">
        <v>8</v>
      </c>
      <c r="H94" s="26" t="s">
        <v>12</v>
      </c>
      <c r="I94" s="26" t="s">
        <v>97</v>
      </c>
      <c r="J94" s="26" t="s">
        <v>78</v>
      </c>
      <c r="K94" s="67">
        <v>15000</v>
      </c>
      <c r="L94" s="131">
        <f t="shared" si="18"/>
        <v>3900</v>
      </c>
      <c r="M94" s="157">
        <f t="shared" si="14"/>
        <v>0.14000000000000001</v>
      </c>
      <c r="N94" s="131">
        <f t="shared" si="19"/>
        <v>9000</v>
      </c>
      <c r="O94" s="132">
        <f t="shared" si="15"/>
        <v>0.48</v>
      </c>
      <c r="P94" s="73">
        <v>1800</v>
      </c>
      <c r="Q94" s="56">
        <f t="shared" si="20"/>
        <v>217</v>
      </c>
      <c r="R94" s="48">
        <f t="shared" si="16"/>
        <v>1583</v>
      </c>
      <c r="S94" s="52">
        <v>500</v>
      </c>
      <c r="T94" s="52">
        <v>280</v>
      </c>
      <c r="U94" s="52">
        <f t="shared" si="17"/>
        <v>5.6</v>
      </c>
      <c r="V94" s="52">
        <v>616</v>
      </c>
      <c r="W94" s="52">
        <v>187</v>
      </c>
      <c r="X94" s="52"/>
      <c r="Y94" s="43" t="s">
        <v>137</v>
      </c>
    </row>
    <row r="95" spans="1:28" hidden="1" x14ac:dyDescent="0.3">
      <c r="A95" s="300"/>
      <c r="B95" s="300"/>
      <c r="C95" s="296"/>
      <c r="D95" s="18" t="s">
        <v>427</v>
      </c>
      <c r="E95" s="76">
        <v>9810592000167</v>
      </c>
      <c r="F95" s="12">
        <v>50</v>
      </c>
      <c r="G95" s="8" t="s">
        <v>8</v>
      </c>
      <c r="H95" s="26" t="s">
        <v>12</v>
      </c>
      <c r="I95" s="26" t="s">
        <v>97</v>
      </c>
      <c r="J95" s="26" t="s">
        <v>78</v>
      </c>
      <c r="K95" s="67">
        <v>15000</v>
      </c>
      <c r="L95" s="131">
        <f t="shared" si="18"/>
        <v>3900</v>
      </c>
      <c r="M95" s="157">
        <f t="shared" si="14"/>
        <v>0.12666666666666668</v>
      </c>
      <c r="N95" s="131">
        <f t="shared" si="19"/>
        <v>9000</v>
      </c>
      <c r="O95" s="132">
        <f t="shared" si="15"/>
        <v>0.46666666666666667</v>
      </c>
      <c r="P95" s="73">
        <v>2000</v>
      </c>
      <c r="Q95" s="56">
        <f t="shared" si="20"/>
        <v>207.5</v>
      </c>
      <c r="R95" s="48">
        <f t="shared" si="16"/>
        <v>1792.5</v>
      </c>
      <c r="S95" s="52">
        <v>244</v>
      </c>
      <c r="T95" s="52">
        <v>806</v>
      </c>
      <c r="U95" s="52">
        <f t="shared" si="17"/>
        <v>16.12</v>
      </c>
      <c r="V95" s="52">
        <f>407+88+66</f>
        <v>561</v>
      </c>
      <c r="W95" s="53">
        <f>165*1.1</f>
        <v>181.50000000000003</v>
      </c>
      <c r="X95" s="52"/>
      <c r="Y95" s="43" t="s">
        <v>137</v>
      </c>
    </row>
    <row r="96" spans="1:28" hidden="1" x14ac:dyDescent="0.3">
      <c r="A96" s="300"/>
      <c r="B96" s="300"/>
      <c r="C96" s="296"/>
      <c r="D96" s="18" t="s">
        <v>428</v>
      </c>
      <c r="E96" s="76">
        <v>9810592000171</v>
      </c>
      <c r="F96" s="12">
        <v>30</v>
      </c>
      <c r="G96" s="8" t="s">
        <v>16</v>
      </c>
      <c r="H96" s="26" t="s">
        <v>12</v>
      </c>
      <c r="I96" s="26" t="s">
        <v>11</v>
      </c>
      <c r="J96" s="26" t="s">
        <v>78</v>
      </c>
      <c r="K96" s="67">
        <v>15000</v>
      </c>
      <c r="L96" s="131">
        <f t="shared" si="18"/>
        <v>3900</v>
      </c>
      <c r="M96" s="157">
        <f t="shared" si="14"/>
        <v>0.17333333333333334</v>
      </c>
      <c r="N96" s="131">
        <f t="shared" si="19"/>
        <v>9000</v>
      </c>
      <c r="O96" s="132">
        <f t="shared" si="15"/>
        <v>0.51333333333333331</v>
      </c>
      <c r="P96" s="73">
        <v>1300</v>
      </c>
      <c r="Q96" s="56">
        <f t="shared" si="20"/>
        <v>111</v>
      </c>
      <c r="R96" s="48">
        <f t="shared" si="16"/>
        <v>1189</v>
      </c>
      <c r="S96" s="52">
        <v>276</v>
      </c>
      <c r="T96" s="52">
        <v>484</v>
      </c>
      <c r="U96" s="52">
        <f t="shared" si="17"/>
        <v>16.133333333333333</v>
      </c>
      <c r="V96" s="52">
        <v>264</v>
      </c>
      <c r="W96" s="53">
        <f>150*1.1</f>
        <v>165</v>
      </c>
      <c r="X96" s="52"/>
      <c r="Y96" s="43" t="s">
        <v>137</v>
      </c>
    </row>
    <row r="97" spans="1:45" x14ac:dyDescent="0.3">
      <c r="A97" s="300"/>
      <c r="B97" s="312"/>
      <c r="C97" s="296"/>
      <c r="D97" s="18" t="s">
        <v>429</v>
      </c>
      <c r="E97" s="76">
        <v>9810592000165</v>
      </c>
      <c r="F97" s="16">
        <v>100</v>
      </c>
      <c r="G97" s="8" t="s">
        <v>16</v>
      </c>
      <c r="H97" s="26" t="s">
        <v>12</v>
      </c>
      <c r="I97" s="26" t="s">
        <v>11</v>
      </c>
      <c r="J97" s="26"/>
      <c r="K97" s="67">
        <v>8000</v>
      </c>
      <c r="L97" s="131">
        <f t="shared" si="18"/>
        <v>2080</v>
      </c>
      <c r="M97" s="157">
        <f t="shared" si="14"/>
        <v>8.5000000000000006E-2</v>
      </c>
      <c r="N97" s="131">
        <f t="shared" si="19"/>
        <v>4800</v>
      </c>
      <c r="O97" s="132">
        <f t="shared" si="15"/>
        <v>0.42499999999999999</v>
      </c>
      <c r="P97" s="73">
        <v>1400</v>
      </c>
      <c r="Q97" s="56">
        <f t="shared" si="20"/>
        <v>175</v>
      </c>
      <c r="R97" s="48">
        <f t="shared" si="16"/>
        <v>1225</v>
      </c>
      <c r="S97" s="52">
        <v>163</v>
      </c>
      <c r="T97" s="52">
        <v>707</v>
      </c>
      <c r="U97" s="52">
        <f t="shared" si="17"/>
        <v>7.07</v>
      </c>
      <c r="V97" s="52">
        <v>341</v>
      </c>
      <c r="W97" s="52">
        <v>0</v>
      </c>
      <c r="X97" s="53">
        <v>14</v>
      </c>
      <c r="Y97" s="43" t="s">
        <v>140</v>
      </c>
      <c r="AC97" s="172">
        <f>SUM(AD97:AR97)</f>
        <v>1225.3</v>
      </c>
      <c r="AD97" s="169">
        <v>707.3</v>
      </c>
      <c r="AE97" s="168">
        <v>163</v>
      </c>
      <c r="AF97" s="172">
        <v>341</v>
      </c>
      <c r="AG97" s="168"/>
      <c r="AH97" s="168"/>
      <c r="AI97" s="168"/>
      <c r="AJ97" s="168"/>
      <c r="AK97" s="170"/>
      <c r="AL97" s="170"/>
      <c r="AM97" s="168"/>
      <c r="AN97" s="170"/>
      <c r="AO97" s="168"/>
      <c r="AP97" s="168"/>
      <c r="AQ97" s="168">
        <v>14</v>
      </c>
      <c r="AR97" s="171">
        <v>0</v>
      </c>
      <c r="AS97" s="159"/>
    </row>
    <row r="98" spans="1:45" hidden="1" x14ac:dyDescent="0.3">
      <c r="A98" s="300"/>
      <c r="B98" s="291" t="s">
        <v>44</v>
      </c>
      <c r="C98" s="296" t="s">
        <v>45</v>
      </c>
      <c r="D98" s="18" t="s">
        <v>430</v>
      </c>
      <c r="E98" s="76">
        <v>9810592000128</v>
      </c>
      <c r="F98" s="12">
        <v>155</v>
      </c>
      <c r="G98" s="8" t="s">
        <v>16</v>
      </c>
      <c r="H98" s="26" t="s">
        <v>12</v>
      </c>
      <c r="I98" s="26" t="s">
        <v>33</v>
      </c>
      <c r="J98" s="26" t="s">
        <v>77</v>
      </c>
      <c r="K98" s="67">
        <v>26000</v>
      </c>
      <c r="L98" s="131">
        <f t="shared" si="18"/>
        <v>6760</v>
      </c>
      <c r="M98" s="157">
        <f t="shared" si="14"/>
        <v>0.14846153846153845</v>
      </c>
      <c r="N98" s="131">
        <f t="shared" si="19"/>
        <v>15600</v>
      </c>
      <c r="O98" s="132">
        <f t="shared" si="15"/>
        <v>0.48846153846153845</v>
      </c>
      <c r="P98" s="73">
        <v>2900</v>
      </c>
      <c r="Q98" s="56">
        <f t="shared" si="20"/>
        <v>269</v>
      </c>
      <c r="R98" s="48">
        <f t="shared" si="16"/>
        <v>2631</v>
      </c>
      <c r="S98" s="52">
        <v>246</v>
      </c>
      <c r="T98" s="52">
        <v>1144</v>
      </c>
      <c r="U98" s="52">
        <f t="shared" si="17"/>
        <v>7.3806451612903228</v>
      </c>
      <c r="V98" s="52">
        <v>1023</v>
      </c>
      <c r="W98" s="52">
        <v>218</v>
      </c>
      <c r="X98" s="52"/>
      <c r="Y98" s="43" t="s">
        <v>137</v>
      </c>
      <c r="AA98" s="40" t="s">
        <v>205</v>
      </c>
      <c r="AB98" s="40">
        <v>7</v>
      </c>
    </row>
    <row r="99" spans="1:45" hidden="1" x14ac:dyDescent="0.3">
      <c r="A99" s="300"/>
      <c r="B99" s="291"/>
      <c r="C99" s="296"/>
      <c r="D99" s="18" t="s">
        <v>431</v>
      </c>
      <c r="E99" s="76">
        <v>9810592000127</v>
      </c>
      <c r="F99" s="16">
        <v>150</v>
      </c>
      <c r="G99" s="8" t="s">
        <v>16</v>
      </c>
      <c r="H99" s="26" t="s">
        <v>27</v>
      </c>
      <c r="I99" s="26" t="s">
        <v>33</v>
      </c>
      <c r="J99" s="26" t="s">
        <v>77</v>
      </c>
      <c r="K99" s="67">
        <v>27000</v>
      </c>
      <c r="L99" s="131">
        <f t="shared" si="18"/>
        <v>7020</v>
      </c>
      <c r="M99" s="157">
        <f t="shared" si="14"/>
        <v>0.13777777777777778</v>
      </c>
      <c r="N99" s="131">
        <f t="shared" si="19"/>
        <v>16200</v>
      </c>
      <c r="O99" s="132">
        <f t="shared" si="15"/>
        <v>0.4777777777777778</v>
      </c>
      <c r="P99" s="73">
        <v>3300</v>
      </c>
      <c r="Q99" s="56">
        <f t="shared" si="20"/>
        <v>167</v>
      </c>
      <c r="R99" s="48">
        <f t="shared" si="16"/>
        <v>3133</v>
      </c>
      <c r="S99" s="52">
        <v>930</v>
      </c>
      <c r="T99" s="52">
        <v>621</v>
      </c>
      <c r="U99" s="52">
        <f t="shared" si="17"/>
        <v>4.1399999999999997</v>
      </c>
      <c r="V99" s="52">
        <v>1232</v>
      </c>
      <c r="W99" s="52">
        <f>297+53</f>
        <v>350</v>
      </c>
      <c r="X99" s="52"/>
      <c r="Y99" s="43" t="s">
        <v>141</v>
      </c>
    </row>
    <row r="100" spans="1:45" hidden="1" x14ac:dyDescent="0.3">
      <c r="A100" s="300"/>
      <c r="B100" s="291"/>
      <c r="C100" s="296"/>
      <c r="D100" s="18" t="s">
        <v>432</v>
      </c>
      <c r="E100" s="76">
        <v>9810592000131</v>
      </c>
      <c r="F100" s="12">
        <v>30</v>
      </c>
      <c r="G100" s="8" t="s">
        <v>8</v>
      </c>
      <c r="H100" s="26" t="s">
        <v>27</v>
      </c>
      <c r="I100" s="26" t="s">
        <v>11</v>
      </c>
      <c r="J100" s="26" t="s">
        <v>77</v>
      </c>
      <c r="K100" s="67">
        <v>13000</v>
      </c>
      <c r="L100" s="131">
        <f t="shared" si="18"/>
        <v>3380</v>
      </c>
      <c r="M100" s="157">
        <f t="shared" si="14"/>
        <v>0.14461538461538462</v>
      </c>
      <c r="N100" s="131">
        <f t="shared" si="19"/>
        <v>7800</v>
      </c>
      <c r="O100" s="132">
        <f t="shared" si="15"/>
        <v>0.48461538461538461</v>
      </c>
      <c r="P100" s="73">
        <v>1500</v>
      </c>
      <c r="Q100" s="56">
        <f t="shared" si="20"/>
        <v>191</v>
      </c>
      <c r="R100" s="48">
        <f t="shared" si="16"/>
        <v>1309</v>
      </c>
      <c r="S100" s="52">
        <v>445.00000000000011</v>
      </c>
      <c r="T100" s="52">
        <v>270</v>
      </c>
      <c r="U100" s="52">
        <f t="shared" si="17"/>
        <v>9</v>
      </c>
      <c r="V100" s="52">
        <v>429</v>
      </c>
      <c r="W100" s="52">
        <v>165</v>
      </c>
      <c r="X100" s="52"/>
      <c r="Y100" s="41" t="s">
        <v>142</v>
      </c>
    </row>
    <row r="101" spans="1:45" hidden="1" x14ac:dyDescent="0.3">
      <c r="A101" s="300"/>
      <c r="B101" s="291"/>
      <c r="C101" s="296"/>
      <c r="D101" s="18" t="s">
        <v>433</v>
      </c>
      <c r="E101" s="76">
        <v>9810592000130</v>
      </c>
      <c r="F101" s="12">
        <v>30</v>
      </c>
      <c r="G101" s="8" t="s">
        <v>8</v>
      </c>
      <c r="H101" s="26" t="s">
        <v>27</v>
      </c>
      <c r="I101" s="26" t="s">
        <v>46</v>
      </c>
      <c r="J101" s="26" t="s">
        <v>77</v>
      </c>
      <c r="K101" s="67">
        <v>15000</v>
      </c>
      <c r="L101" s="131">
        <f t="shared" si="18"/>
        <v>3900</v>
      </c>
      <c r="M101" s="157">
        <f t="shared" si="14"/>
        <v>0.15333333333333332</v>
      </c>
      <c r="N101" s="131">
        <f t="shared" si="19"/>
        <v>9000</v>
      </c>
      <c r="O101" s="132">
        <f t="shared" si="15"/>
        <v>0.49333333333333335</v>
      </c>
      <c r="P101" s="73">
        <v>1600</v>
      </c>
      <c r="Q101" s="56">
        <f t="shared" si="20"/>
        <v>131</v>
      </c>
      <c r="R101" s="48">
        <f t="shared" si="16"/>
        <v>1469</v>
      </c>
      <c r="S101" s="52">
        <v>500</v>
      </c>
      <c r="T101" s="52">
        <v>270.00000000000011</v>
      </c>
      <c r="U101" s="52">
        <f t="shared" si="17"/>
        <v>9.0000000000000036</v>
      </c>
      <c r="V101" s="52">
        <v>429</v>
      </c>
      <c r="W101" s="52">
        <v>270</v>
      </c>
      <c r="X101" s="52"/>
      <c r="Y101" s="41" t="s">
        <v>142</v>
      </c>
    </row>
    <row r="102" spans="1:45" hidden="1" x14ac:dyDescent="0.3">
      <c r="A102" s="300"/>
      <c r="B102" s="291"/>
      <c r="C102" s="296"/>
      <c r="D102" s="18" t="s">
        <v>434</v>
      </c>
      <c r="E102" s="76">
        <v>9810592000126</v>
      </c>
      <c r="F102" s="12">
        <v>50</v>
      </c>
      <c r="G102" s="8" t="s">
        <v>8</v>
      </c>
      <c r="H102" s="26" t="s">
        <v>27</v>
      </c>
      <c r="I102" s="26" t="s">
        <v>33</v>
      </c>
      <c r="J102" s="26" t="s">
        <v>77</v>
      </c>
      <c r="K102" s="67">
        <v>24000</v>
      </c>
      <c r="L102" s="131">
        <f t="shared" si="18"/>
        <v>6240</v>
      </c>
      <c r="M102" s="157">
        <f t="shared" si="14"/>
        <v>0.15583333333333332</v>
      </c>
      <c r="N102" s="131">
        <f t="shared" si="19"/>
        <v>14400</v>
      </c>
      <c r="O102" s="132">
        <f t="shared" si="15"/>
        <v>0.49583333333333335</v>
      </c>
      <c r="P102" s="73">
        <v>2500</v>
      </c>
      <c r="Q102" s="56">
        <f t="shared" si="20"/>
        <v>261</v>
      </c>
      <c r="R102" s="48">
        <f t="shared" si="16"/>
        <v>2239</v>
      </c>
      <c r="S102" s="52">
        <v>700</v>
      </c>
      <c r="T102" s="52">
        <v>400</v>
      </c>
      <c r="U102" s="52">
        <f t="shared" si="17"/>
        <v>8</v>
      </c>
      <c r="V102" s="52">
        <v>985</v>
      </c>
      <c r="W102" s="52">
        <v>154</v>
      </c>
      <c r="X102" s="52"/>
      <c r="Y102" s="41" t="s">
        <v>142</v>
      </c>
    </row>
    <row r="103" spans="1:45" hidden="1" x14ac:dyDescent="0.3">
      <c r="A103" s="300"/>
      <c r="B103" s="291"/>
      <c r="C103" s="296"/>
      <c r="D103" s="18" t="s">
        <v>435</v>
      </c>
      <c r="E103" s="76">
        <v>9810592000132</v>
      </c>
      <c r="F103" s="16">
        <v>100</v>
      </c>
      <c r="G103" s="8" t="s">
        <v>16</v>
      </c>
      <c r="H103" s="26" t="s">
        <v>27</v>
      </c>
      <c r="I103" s="26" t="s">
        <v>28</v>
      </c>
      <c r="J103" s="26" t="s">
        <v>77</v>
      </c>
      <c r="K103" s="67">
        <v>15000</v>
      </c>
      <c r="L103" s="131">
        <f t="shared" si="18"/>
        <v>3900</v>
      </c>
      <c r="M103" s="157">
        <f t="shared" si="14"/>
        <v>0.13333333333333333</v>
      </c>
      <c r="N103" s="131">
        <f t="shared" si="19"/>
        <v>9000</v>
      </c>
      <c r="O103" s="132">
        <f t="shared" si="15"/>
        <v>0.47333333333333333</v>
      </c>
      <c r="P103" s="73">
        <v>1900</v>
      </c>
      <c r="Q103" s="56">
        <f t="shared" si="20"/>
        <v>151</v>
      </c>
      <c r="R103" s="48">
        <f t="shared" si="16"/>
        <v>1749</v>
      </c>
      <c r="S103" s="52">
        <v>400</v>
      </c>
      <c r="T103" s="52">
        <v>194</v>
      </c>
      <c r="U103" s="52">
        <f t="shared" si="17"/>
        <v>1.94</v>
      </c>
      <c r="V103" s="52">
        <v>957</v>
      </c>
      <c r="W103" s="52">
        <v>198</v>
      </c>
      <c r="X103" s="52"/>
      <c r="Y103" s="43" t="s">
        <v>139</v>
      </c>
    </row>
    <row r="104" spans="1:45" hidden="1" x14ac:dyDescent="0.3">
      <c r="A104" s="300"/>
      <c r="B104" s="291"/>
      <c r="C104" s="296"/>
      <c r="D104" s="81" t="s">
        <v>436</v>
      </c>
      <c r="E104" s="76">
        <v>9810592000391</v>
      </c>
      <c r="F104" s="16">
        <v>100</v>
      </c>
      <c r="G104" s="8" t="s">
        <v>8</v>
      </c>
      <c r="H104" s="26" t="s">
        <v>38</v>
      </c>
      <c r="I104" s="26" t="s">
        <v>52</v>
      </c>
      <c r="J104" s="26" t="s">
        <v>77</v>
      </c>
      <c r="K104" s="67">
        <v>26000</v>
      </c>
      <c r="L104" s="131">
        <f t="shared" si="18"/>
        <v>6760</v>
      </c>
      <c r="M104" s="157">
        <f t="shared" si="14"/>
        <v>0.13692307692307693</v>
      </c>
      <c r="N104" s="131">
        <f t="shared" si="19"/>
        <v>15600</v>
      </c>
      <c r="O104" s="132">
        <f t="shared" si="15"/>
        <v>0.47692307692307695</v>
      </c>
      <c r="P104" s="73">
        <v>3200</v>
      </c>
      <c r="Q104" s="56">
        <f t="shared" si="20"/>
        <v>329</v>
      </c>
      <c r="R104" s="48">
        <f t="shared" si="16"/>
        <v>2871</v>
      </c>
      <c r="S104" s="52">
        <v>690</v>
      </c>
      <c r="T104" s="52">
        <v>718</v>
      </c>
      <c r="U104" s="52">
        <f t="shared" si="17"/>
        <v>7.18</v>
      </c>
      <c r="V104" s="52">
        <f>980*1.1</f>
        <v>1078</v>
      </c>
      <c r="W104" s="52">
        <v>341</v>
      </c>
      <c r="X104" s="53">
        <v>44</v>
      </c>
      <c r="Y104" s="41" t="s">
        <v>115</v>
      </c>
    </row>
    <row r="105" spans="1:45" hidden="1" x14ac:dyDescent="0.3">
      <c r="A105" s="300"/>
      <c r="B105" s="299" t="s">
        <v>39</v>
      </c>
      <c r="C105" s="295" t="s">
        <v>40</v>
      </c>
      <c r="D105" s="10" t="s">
        <v>437</v>
      </c>
      <c r="E105" s="76">
        <v>9810592000309</v>
      </c>
      <c r="F105" s="12">
        <v>150</v>
      </c>
      <c r="G105" s="8" t="s">
        <v>16</v>
      </c>
      <c r="H105" s="26" t="s">
        <v>27</v>
      </c>
      <c r="I105" s="26" t="s">
        <v>33</v>
      </c>
      <c r="J105" s="26" t="s">
        <v>77</v>
      </c>
      <c r="K105" s="67">
        <v>26000</v>
      </c>
      <c r="L105" s="131">
        <f t="shared" si="18"/>
        <v>6760</v>
      </c>
      <c r="M105" s="157">
        <f t="shared" si="14"/>
        <v>0.13692307692307693</v>
      </c>
      <c r="N105" s="131">
        <f t="shared" si="19"/>
        <v>15600</v>
      </c>
      <c r="O105" s="132">
        <f t="shared" si="15"/>
        <v>0.47692307692307695</v>
      </c>
      <c r="P105" s="73">
        <v>3200</v>
      </c>
      <c r="Q105" s="56">
        <f t="shared" si="20"/>
        <v>318</v>
      </c>
      <c r="R105" s="48">
        <f t="shared" si="16"/>
        <v>2882</v>
      </c>
      <c r="S105" s="52">
        <v>800</v>
      </c>
      <c r="T105" s="52">
        <v>531</v>
      </c>
      <c r="U105" s="52">
        <f t="shared" si="17"/>
        <v>3.54</v>
      </c>
      <c r="V105" s="52">
        <v>1298</v>
      </c>
      <c r="W105" s="52">
        <v>253</v>
      </c>
      <c r="X105" s="52"/>
      <c r="Y105" s="41" t="s">
        <v>142</v>
      </c>
      <c r="AA105" s="40" t="s">
        <v>39</v>
      </c>
      <c r="AB105" s="40">
        <v>3</v>
      </c>
    </row>
    <row r="106" spans="1:45" hidden="1" x14ac:dyDescent="0.3">
      <c r="A106" s="300"/>
      <c r="B106" s="300"/>
      <c r="C106" s="295"/>
      <c r="D106" s="7" t="s">
        <v>438</v>
      </c>
      <c r="E106" s="76">
        <v>9810592000311</v>
      </c>
      <c r="F106" s="12">
        <v>50</v>
      </c>
      <c r="G106" s="8" t="s">
        <v>8</v>
      </c>
      <c r="H106" s="26" t="s">
        <v>27</v>
      </c>
      <c r="I106" s="26" t="s">
        <v>33</v>
      </c>
      <c r="J106" s="26" t="s">
        <v>77</v>
      </c>
      <c r="K106" s="67">
        <v>24000</v>
      </c>
      <c r="L106" s="131">
        <f t="shared" si="18"/>
        <v>6240</v>
      </c>
      <c r="M106" s="157">
        <f t="shared" si="14"/>
        <v>0.13916666666666666</v>
      </c>
      <c r="N106" s="131">
        <f t="shared" si="19"/>
        <v>14400</v>
      </c>
      <c r="O106" s="132">
        <f t="shared" si="15"/>
        <v>0.47916666666666669</v>
      </c>
      <c r="P106" s="73">
        <v>2900</v>
      </c>
      <c r="Q106" s="56">
        <f t="shared" si="20"/>
        <v>243</v>
      </c>
      <c r="R106" s="48">
        <f t="shared" si="16"/>
        <v>2657</v>
      </c>
      <c r="S106" s="52">
        <v>800</v>
      </c>
      <c r="T106" s="52">
        <v>575</v>
      </c>
      <c r="U106" s="52">
        <f t="shared" si="17"/>
        <v>11.5</v>
      </c>
      <c r="V106" s="52">
        <v>1139</v>
      </c>
      <c r="W106" s="52">
        <v>143</v>
      </c>
      <c r="X106" s="52"/>
      <c r="Y106" s="41" t="s">
        <v>142</v>
      </c>
    </row>
    <row r="107" spans="1:45" hidden="1" x14ac:dyDescent="0.3">
      <c r="A107" s="300"/>
      <c r="B107" s="312"/>
      <c r="C107" s="295"/>
      <c r="D107" s="7" t="s">
        <v>439</v>
      </c>
      <c r="E107" s="76">
        <v>9810592000312</v>
      </c>
      <c r="F107" s="16">
        <v>30</v>
      </c>
      <c r="G107" s="8" t="s">
        <v>16</v>
      </c>
      <c r="H107" s="26" t="s">
        <v>27</v>
      </c>
      <c r="I107" s="26" t="s">
        <v>33</v>
      </c>
      <c r="J107" s="26" t="s">
        <v>77</v>
      </c>
      <c r="K107" s="67">
        <v>25000</v>
      </c>
      <c r="L107" s="131">
        <f t="shared" si="18"/>
        <v>6500</v>
      </c>
      <c r="M107" s="157">
        <f t="shared" si="14"/>
        <v>0.156</v>
      </c>
      <c r="N107" s="131">
        <f t="shared" si="19"/>
        <v>15000</v>
      </c>
      <c r="O107" s="132">
        <f t="shared" si="15"/>
        <v>0.496</v>
      </c>
      <c r="P107" s="73">
        <v>2600</v>
      </c>
      <c r="Q107" s="56">
        <f t="shared" si="20"/>
        <v>169</v>
      </c>
      <c r="R107" s="48">
        <f t="shared" si="16"/>
        <v>2431</v>
      </c>
      <c r="S107" s="52">
        <v>500.00000000000011</v>
      </c>
      <c r="T107" s="52">
        <v>380</v>
      </c>
      <c r="U107" s="52">
        <f t="shared" si="17"/>
        <v>12.666666666666666</v>
      </c>
      <c r="V107" s="52">
        <v>1342</v>
      </c>
      <c r="W107" s="52">
        <v>209</v>
      </c>
      <c r="X107" s="52"/>
      <c r="Y107" s="43" t="s">
        <v>143</v>
      </c>
    </row>
    <row r="108" spans="1:45" x14ac:dyDescent="0.3">
      <c r="A108" s="300"/>
      <c r="B108" s="301" t="s">
        <v>48</v>
      </c>
      <c r="C108" s="295" t="s">
        <v>49</v>
      </c>
      <c r="D108" s="7" t="s">
        <v>440</v>
      </c>
      <c r="E108" s="76">
        <v>9810592000006</v>
      </c>
      <c r="F108" s="12">
        <v>500</v>
      </c>
      <c r="G108" s="8" t="s">
        <v>16</v>
      </c>
      <c r="H108" s="26" t="s">
        <v>12</v>
      </c>
      <c r="I108" s="26" t="s">
        <v>30</v>
      </c>
      <c r="J108" s="26"/>
      <c r="K108" s="67">
        <v>15000</v>
      </c>
      <c r="L108" s="131">
        <f t="shared" si="18"/>
        <v>3900</v>
      </c>
      <c r="M108" s="157">
        <f t="shared" si="14"/>
        <v>7.3333333333333334E-2</v>
      </c>
      <c r="N108" s="131">
        <f t="shared" si="19"/>
        <v>9000</v>
      </c>
      <c r="O108" s="132">
        <f t="shared" si="15"/>
        <v>0.41333333333333333</v>
      </c>
      <c r="P108" s="73">
        <v>2800</v>
      </c>
      <c r="Q108" s="56">
        <f t="shared" si="20"/>
        <v>282</v>
      </c>
      <c r="R108" s="48">
        <f t="shared" si="16"/>
        <v>2518</v>
      </c>
      <c r="S108" s="52">
        <v>286</v>
      </c>
      <c r="T108" s="52">
        <v>1564</v>
      </c>
      <c r="U108" s="52">
        <f t="shared" si="17"/>
        <v>3.1280000000000001</v>
      </c>
      <c r="V108" s="52">
        <f>297+44+165</f>
        <v>506</v>
      </c>
      <c r="W108" s="52">
        <v>0</v>
      </c>
      <c r="X108" s="53">
        <f>143+19</f>
        <v>162</v>
      </c>
      <c r="Y108" s="43" t="s">
        <v>144</v>
      </c>
      <c r="AA108" s="40" t="s">
        <v>48</v>
      </c>
      <c r="AB108" s="40">
        <v>11</v>
      </c>
      <c r="AC108" s="168">
        <f>SUM(AD108:AR108)</f>
        <v>2518</v>
      </c>
      <c r="AD108" s="169">
        <v>1564</v>
      </c>
      <c r="AE108" s="168">
        <v>286</v>
      </c>
      <c r="AF108" s="168">
        <v>297</v>
      </c>
      <c r="AG108" s="168">
        <v>165</v>
      </c>
      <c r="AH108" s="168">
        <v>44</v>
      </c>
      <c r="AI108" s="168"/>
      <c r="AJ108" s="168"/>
      <c r="AK108" s="170"/>
      <c r="AL108" s="170">
        <v>143</v>
      </c>
      <c r="AM108" s="168"/>
      <c r="AN108" s="170"/>
      <c r="AO108" s="168"/>
      <c r="AP108" s="168"/>
      <c r="AQ108" s="168">
        <v>19</v>
      </c>
      <c r="AR108" s="171"/>
      <c r="AS108" s="159"/>
    </row>
    <row r="109" spans="1:45" hidden="1" x14ac:dyDescent="0.3">
      <c r="A109" s="300"/>
      <c r="B109" s="302"/>
      <c r="C109" s="295"/>
      <c r="D109" s="10" t="s">
        <v>441</v>
      </c>
      <c r="E109" s="76">
        <v>9810592000004</v>
      </c>
      <c r="F109" s="12">
        <v>70</v>
      </c>
      <c r="G109" s="8" t="s">
        <v>8</v>
      </c>
      <c r="H109" s="26" t="s">
        <v>10</v>
      </c>
      <c r="I109" s="26" t="s">
        <v>11</v>
      </c>
      <c r="J109" s="26"/>
      <c r="K109" s="67">
        <v>10000</v>
      </c>
      <c r="L109" s="131">
        <f t="shared" si="18"/>
        <v>2600</v>
      </c>
      <c r="M109" s="157">
        <f t="shared" si="14"/>
        <v>0.13</v>
      </c>
      <c r="N109" s="131">
        <f t="shared" si="19"/>
        <v>6000</v>
      </c>
      <c r="O109" s="132">
        <f t="shared" si="15"/>
        <v>0.47</v>
      </c>
      <c r="P109" s="73">
        <v>1300</v>
      </c>
      <c r="Q109" s="56">
        <f t="shared" si="20"/>
        <v>297</v>
      </c>
      <c r="R109" s="48">
        <f t="shared" si="16"/>
        <v>1003</v>
      </c>
      <c r="S109" s="52">
        <v>196</v>
      </c>
      <c r="T109" s="52">
        <v>508</v>
      </c>
      <c r="U109" s="52">
        <f t="shared" si="17"/>
        <v>7.2571428571428571</v>
      </c>
      <c r="V109" s="52">
        <v>286</v>
      </c>
      <c r="W109" s="52">
        <v>0</v>
      </c>
      <c r="X109" s="53">
        <v>13</v>
      </c>
      <c r="Y109" s="41" t="s">
        <v>142</v>
      </c>
    </row>
    <row r="110" spans="1:45" x14ac:dyDescent="0.3">
      <c r="A110" s="300"/>
      <c r="B110" s="302"/>
      <c r="C110" s="295"/>
      <c r="D110" s="10" t="s">
        <v>442</v>
      </c>
      <c r="E110" s="76">
        <v>9810592000355</v>
      </c>
      <c r="F110" s="12">
        <v>200</v>
      </c>
      <c r="G110" s="8" t="s">
        <v>16</v>
      </c>
      <c r="H110" s="26" t="s">
        <v>13</v>
      </c>
      <c r="I110" s="26" t="s">
        <v>50</v>
      </c>
      <c r="J110" s="26"/>
      <c r="K110" s="67">
        <v>10000</v>
      </c>
      <c r="L110" s="131">
        <f t="shared" si="18"/>
        <v>2600</v>
      </c>
      <c r="M110" s="157">
        <f t="shared" si="14"/>
        <v>7.0000000000000007E-2</v>
      </c>
      <c r="N110" s="131">
        <f t="shared" si="19"/>
        <v>6000</v>
      </c>
      <c r="O110" s="132">
        <f t="shared" si="15"/>
        <v>0.41</v>
      </c>
      <c r="P110" s="73">
        <v>1900</v>
      </c>
      <c r="Q110" s="56">
        <f t="shared" si="20"/>
        <v>233.5</v>
      </c>
      <c r="R110" s="48">
        <f t="shared" si="16"/>
        <v>1666.5</v>
      </c>
      <c r="S110" s="52">
        <f>480*1.1</f>
        <v>528</v>
      </c>
      <c r="T110" s="52">
        <f>560*1.1</f>
        <v>616</v>
      </c>
      <c r="U110" s="52">
        <f t="shared" si="17"/>
        <v>3.08</v>
      </c>
      <c r="V110" s="52">
        <v>363</v>
      </c>
      <c r="W110" s="52">
        <v>0</v>
      </c>
      <c r="X110" s="53">
        <v>159.5</v>
      </c>
      <c r="Y110" s="41" t="s">
        <v>165</v>
      </c>
      <c r="AC110" s="168">
        <f>SUM(AD110:AR110)</f>
        <v>1666.5</v>
      </c>
      <c r="AD110" s="168">
        <v>616</v>
      </c>
      <c r="AE110" s="168">
        <v>528</v>
      </c>
      <c r="AF110" s="168">
        <v>363</v>
      </c>
      <c r="AG110" s="168">
        <v>0</v>
      </c>
      <c r="AH110" s="168"/>
      <c r="AI110" s="168"/>
      <c r="AJ110" s="168"/>
      <c r="AK110" s="170"/>
      <c r="AL110" s="170">
        <f>77+77</f>
        <v>154</v>
      </c>
      <c r="AM110" s="168"/>
      <c r="AN110" s="170">
        <v>5.5</v>
      </c>
      <c r="AO110" s="168"/>
      <c r="AP110" s="168"/>
      <c r="AQ110" s="168">
        <v>0</v>
      </c>
      <c r="AR110" s="171"/>
      <c r="AS110" s="159"/>
    </row>
    <row r="111" spans="1:45" hidden="1" x14ac:dyDescent="0.3">
      <c r="A111" s="300"/>
      <c r="B111" s="302"/>
      <c r="C111" s="303" t="s">
        <v>51</v>
      </c>
      <c r="D111" s="10" t="s">
        <v>443</v>
      </c>
      <c r="E111" s="76">
        <v>9810592000246</v>
      </c>
      <c r="F111" s="16">
        <v>100</v>
      </c>
      <c r="G111" s="8" t="s">
        <v>8</v>
      </c>
      <c r="H111" s="26" t="s">
        <v>27</v>
      </c>
      <c r="I111" s="26" t="s">
        <v>52</v>
      </c>
      <c r="J111" s="26" t="s">
        <v>76</v>
      </c>
      <c r="K111" s="67">
        <v>18000</v>
      </c>
      <c r="L111" s="131">
        <f t="shared" si="18"/>
        <v>4680</v>
      </c>
      <c r="M111" s="157">
        <f t="shared" si="14"/>
        <v>0.13777777777777778</v>
      </c>
      <c r="N111" s="131">
        <f t="shared" si="19"/>
        <v>10800</v>
      </c>
      <c r="O111" s="132">
        <f t="shared" si="15"/>
        <v>0.4777777777777778</v>
      </c>
      <c r="P111" s="73">
        <v>2200</v>
      </c>
      <c r="Q111" s="56">
        <f t="shared" si="20"/>
        <v>192</v>
      </c>
      <c r="R111" s="48">
        <f t="shared" si="16"/>
        <v>2008</v>
      </c>
      <c r="S111" s="52">
        <v>640</v>
      </c>
      <c r="T111" s="52">
        <v>427</v>
      </c>
      <c r="U111" s="52">
        <f t="shared" si="17"/>
        <v>4.2699999999999996</v>
      </c>
      <c r="V111" s="52">
        <v>638</v>
      </c>
      <c r="W111" s="52">
        <v>160</v>
      </c>
      <c r="X111" s="53">
        <v>143</v>
      </c>
      <c r="Y111" s="43" t="s">
        <v>145</v>
      </c>
    </row>
    <row r="112" spans="1:45" x14ac:dyDescent="0.3">
      <c r="A112" s="300"/>
      <c r="B112" s="302"/>
      <c r="C112" s="303"/>
      <c r="D112" s="10" t="s">
        <v>444</v>
      </c>
      <c r="E112" s="76">
        <v>9810592000245</v>
      </c>
      <c r="F112" s="16">
        <v>550</v>
      </c>
      <c r="G112" s="8" t="s">
        <v>16</v>
      </c>
      <c r="H112" s="26" t="s">
        <v>27</v>
      </c>
      <c r="I112" s="26" t="s">
        <v>28</v>
      </c>
      <c r="J112" s="26"/>
      <c r="K112" s="67">
        <v>15000</v>
      </c>
      <c r="L112" s="131">
        <f t="shared" si="18"/>
        <v>3900</v>
      </c>
      <c r="M112" s="157">
        <f t="shared" si="14"/>
        <v>0.08</v>
      </c>
      <c r="N112" s="131">
        <f t="shared" si="19"/>
        <v>9000</v>
      </c>
      <c r="O112" s="132">
        <f t="shared" si="15"/>
        <v>0.42</v>
      </c>
      <c r="P112" s="73">
        <v>2700</v>
      </c>
      <c r="Q112" s="56">
        <f t="shared" si="20"/>
        <v>148</v>
      </c>
      <c r="R112" s="48">
        <f t="shared" si="16"/>
        <v>2552</v>
      </c>
      <c r="S112" s="52">
        <v>980</v>
      </c>
      <c r="T112" s="52">
        <v>615</v>
      </c>
      <c r="U112" s="52">
        <f t="shared" si="17"/>
        <v>1.1181818181818182</v>
      </c>
      <c r="V112" s="52">
        <f>396+418</f>
        <v>814</v>
      </c>
      <c r="W112" s="52">
        <v>0</v>
      </c>
      <c r="X112" s="53">
        <v>143</v>
      </c>
      <c r="Y112" s="43" t="s">
        <v>146</v>
      </c>
      <c r="AC112" s="172">
        <f t="shared" ref="AC112:AC124" si="22">SUM(AD112:AR112)</f>
        <v>2607</v>
      </c>
      <c r="AD112" s="169">
        <v>1155</v>
      </c>
      <c r="AE112" s="168">
        <v>495</v>
      </c>
      <c r="AF112" s="172">
        <v>814</v>
      </c>
      <c r="AG112" s="168"/>
      <c r="AH112" s="168"/>
      <c r="AI112" s="168"/>
      <c r="AJ112" s="168"/>
      <c r="AK112" s="170"/>
      <c r="AL112" s="170">
        <v>143</v>
      </c>
      <c r="AM112" s="168"/>
      <c r="AN112" s="170"/>
      <c r="AO112" s="168"/>
      <c r="AP112" s="168"/>
      <c r="AQ112" s="168">
        <v>0</v>
      </c>
      <c r="AR112" s="171"/>
      <c r="AS112" s="159"/>
    </row>
    <row r="113" spans="1:45" x14ac:dyDescent="0.3">
      <c r="A113" s="300"/>
      <c r="B113" s="302"/>
      <c r="C113" s="303"/>
      <c r="D113" s="23" t="s">
        <v>445</v>
      </c>
      <c r="E113" s="151">
        <v>9810592000244</v>
      </c>
      <c r="F113" s="27">
        <v>5</v>
      </c>
      <c r="G113" s="16" t="s">
        <v>180</v>
      </c>
      <c r="H113" s="28"/>
      <c r="I113" s="28"/>
      <c r="J113" s="28"/>
      <c r="K113" s="67">
        <v>7000</v>
      </c>
      <c r="L113" s="131">
        <f t="shared" si="18"/>
        <v>1820</v>
      </c>
      <c r="M113" s="157">
        <f t="shared" si="14"/>
        <v>1.7142857142857144E-2</v>
      </c>
      <c r="N113" s="131">
        <f t="shared" si="19"/>
        <v>4200</v>
      </c>
      <c r="O113" s="132">
        <f t="shared" si="15"/>
        <v>0.35714285714285715</v>
      </c>
      <c r="P113" s="73">
        <v>1700</v>
      </c>
      <c r="Q113" s="56">
        <f t="shared" si="20"/>
        <v>160</v>
      </c>
      <c r="R113" s="49">
        <f t="shared" si="16"/>
        <v>1540</v>
      </c>
      <c r="S113" s="55">
        <v>385</v>
      </c>
      <c r="T113" s="56">
        <v>292</v>
      </c>
      <c r="U113" s="56"/>
      <c r="V113" s="56">
        <v>863</v>
      </c>
      <c r="W113" s="56"/>
      <c r="X113" s="56"/>
      <c r="Y113" s="36" t="s">
        <v>183</v>
      </c>
      <c r="AC113" s="168">
        <f t="shared" si="22"/>
        <v>1540</v>
      </c>
      <c r="AD113" s="168">
        <v>292</v>
      </c>
      <c r="AE113" s="168">
        <v>385</v>
      </c>
      <c r="AF113" s="173">
        <v>863</v>
      </c>
      <c r="AG113" s="168">
        <v>0</v>
      </c>
      <c r="AH113" s="168"/>
      <c r="AI113" s="168"/>
      <c r="AJ113" s="168"/>
      <c r="AK113" s="170"/>
      <c r="AL113" s="170"/>
      <c r="AM113" s="168"/>
      <c r="AN113" s="170"/>
      <c r="AO113" s="168"/>
      <c r="AP113" s="168"/>
      <c r="AQ113" s="168">
        <f>X113/1.1</f>
        <v>0</v>
      </c>
      <c r="AR113" s="171"/>
      <c r="AS113" s="159"/>
    </row>
    <row r="114" spans="1:45" ht="10.9" customHeight="1" x14ac:dyDescent="0.3">
      <c r="A114" s="300"/>
      <c r="B114" s="302"/>
      <c r="C114" s="296" t="s">
        <v>55</v>
      </c>
      <c r="D114" s="18" t="s">
        <v>446</v>
      </c>
      <c r="E114" s="76">
        <v>9810592000046</v>
      </c>
      <c r="F114" s="16">
        <v>248</v>
      </c>
      <c r="G114" s="8" t="s">
        <v>16</v>
      </c>
      <c r="H114" s="26" t="s">
        <v>12</v>
      </c>
      <c r="I114" s="26" t="s">
        <v>47</v>
      </c>
      <c r="J114" s="26"/>
      <c r="K114" s="67">
        <v>9000</v>
      </c>
      <c r="L114" s="131">
        <f t="shared" si="18"/>
        <v>2340</v>
      </c>
      <c r="M114" s="157">
        <f t="shared" si="14"/>
        <v>8.2222222222222224E-2</v>
      </c>
      <c r="N114" s="131">
        <f t="shared" si="19"/>
        <v>5400</v>
      </c>
      <c r="O114" s="132">
        <f t="shared" si="15"/>
        <v>0.42222222222222222</v>
      </c>
      <c r="P114" s="73">
        <v>1600</v>
      </c>
      <c r="Q114" s="56">
        <f t="shared" si="20"/>
        <v>123</v>
      </c>
      <c r="R114" s="48">
        <f t="shared" si="16"/>
        <v>1477</v>
      </c>
      <c r="S114" s="52">
        <v>260</v>
      </c>
      <c r="T114" s="52">
        <v>760</v>
      </c>
      <c r="U114" s="52">
        <f>T114/F114</f>
        <v>3.064516129032258</v>
      </c>
      <c r="V114" s="52">
        <f>203.5+44+71.5</f>
        <v>319</v>
      </c>
      <c r="W114" s="52">
        <v>0</v>
      </c>
      <c r="X114" s="53">
        <f>121+17</f>
        <v>138</v>
      </c>
      <c r="Y114" s="43" t="s">
        <v>148</v>
      </c>
      <c r="AC114" s="168">
        <f t="shared" si="22"/>
        <v>1447</v>
      </c>
      <c r="AD114" s="169">
        <v>760</v>
      </c>
      <c r="AE114" s="168">
        <v>230</v>
      </c>
      <c r="AF114" s="168">
        <v>204</v>
      </c>
      <c r="AG114" s="168">
        <v>71</v>
      </c>
      <c r="AH114" s="168">
        <v>44</v>
      </c>
      <c r="AI114" s="168"/>
      <c r="AJ114" s="168"/>
      <c r="AK114" s="170"/>
      <c r="AL114" s="170">
        <v>121</v>
      </c>
      <c r="AM114" s="168"/>
      <c r="AN114" s="170"/>
      <c r="AO114" s="168"/>
      <c r="AP114" s="168"/>
      <c r="AQ114" s="168">
        <v>17</v>
      </c>
      <c r="AR114" s="171"/>
      <c r="AS114" s="159"/>
    </row>
    <row r="115" spans="1:45" x14ac:dyDescent="0.3">
      <c r="A115" s="300"/>
      <c r="B115" s="302"/>
      <c r="C115" s="296"/>
      <c r="D115" s="18" t="s">
        <v>447</v>
      </c>
      <c r="E115" s="76">
        <v>9810592000045</v>
      </c>
      <c r="F115" s="16">
        <v>248</v>
      </c>
      <c r="G115" s="8" t="s">
        <v>16</v>
      </c>
      <c r="H115" s="26" t="s">
        <v>12</v>
      </c>
      <c r="I115" s="26" t="s">
        <v>47</v>
      </c>
      <c r="J115" s="26"/>
      <c r="K115" s="67">
        <v>9000</v>
      </c>
      <c r="L115" s="131">
        <f t="shared" si="18"/>
        <v>2340</v>
      </c>
      <c r="M115" s="157">
        <f t="shared" si="14"/>
        <v>8.2222222222222224E-2</v>
      </c>
      <c r="N115" s="131">
        <f t="shared" si="19"/>
        <v>5400</v>
      </c>
      <c r="O115" s="132">
        <f t="shared" si="15"/>
        <v>0.42222222222222222</v>
      </c>
      <c r="P115" s="73">
        <v>1600</v>
      </c>
      <c r="Q115" s="56">
        <f t="shared" si="20"/>
        <v>123</v>
      </c>
      <c r="R115" s="48">
        <f t="shared" si="16"/>
        <v>1477</v>
      </c>
      <c r="S115" s="52">
        <v>260</v>
      </c>
      <c r="T115" s="52">
        <v>760</v>
      </c>
      <c r="U115" s="52">
        <f>T115/F115</f>
        <v>3.064516129032258</v>
      </c>
      <c r="V115" s="52">
        <f t="shared" ref="V115:V118" si="23">203.5+44+71.5</f>
        <v>319</v>
      </c>
      <c r="W115" s="52">
        <v>0</v>
      </c>
      <c r="X115" s="53">
        <f t="shared" ref="X115:X118" si="24">121+17</f>
        <v>138</v>
      </c>
      <c r="Y115" s="43" t="s">
        <v>148</v>
      </c>
      <c r="AC115" s="168">
        <f t="shared" si="22"/>
        <v>1447</v>
      </c>
      <c r="AD115" s="169">
        <v>760</v>
      </c>
      <c r="AE115" s="168">
        <v>230</v>
      </c>
      <c r="AF115" s="168">
        <v>204</v>
      </c>
      <c r="AG115" s="168">
        <v>71</v>
      </c>
      <c r="AH115" s="168">
        <v>44</v>
      </c>
      <c r="AI115" s="168"/>
      <c r="AJ115" s="168"/>
      <c r="AK115" s="170"/>
      <c r="AL115" s="170">
        <v>121</v>
      </c>
      <c r="AM115" s="168"/>
      <c r="AN115" s="170"/>
      <c r="AO115" s="168"/>
      <c r="AP115" s="168"/>
      <c r="AQ115" s="168">
        <v>17</v>
      </c>
      <c r="AR115" s="171"/>
      <c r="AS115" s="159"/>
    </row>
    <row r="116" spans="1:45" x14ac:dyDescent="0.3">
      <c r="A116" s="300"/>
      <c r="B116" s="302"/>
      <c r="C116" s="296"/>
      <c r="D116" s="18" t="s">
        <v>448</v>
      </c>
      <c r="E116" s="76">
        <v>9810592000044</v>
      </c>
      <c r="F116" s="16">
        <v>248</v>
      </c>
      <c r="G116" s="8" t="s">
        <v>16</v>
      </c>
      <c r="H116" s="26" t="s">
        <v>12</v>
      </c>
      <c r="I116" s="26" t="s">
        <v>47</v>
      </c>
      <c r="J116" s="26"/>
      <c r="K116" s="67">
        <v>9000</v>
      </c>
      <c r="L116" s="131">
        <f t="shared" si="18"/>
        <v>2340</v>
      </c>
      <c r="M116" s="157">
        <f t="shared" si="14"/>
        <v>8.2222222222222224E-2</v>
      </c>
      <c r="N116" s="131">
        <f t="shared" si="19"/>
        <v>5400</v>
      </c>
      <c r="O116" s="132">
        <f t="shared" si="15"/>
        <v>0.42222222222222222</v>
      </c>
      <c r="P116" s="73">
        <v>1600</v>
      </c>
      <c r="Q116" s="56">
        <f t="shared" si="20"/>
        <v>123</v>
      </c>
      <c r="R116" s="48">
        <f t="shared" si="16"/>
        <v>1477</v>
      </c>
      <c r="S116" s="52">
        <v>260</v>
      </c>
      <c r="T116" s="52">
        <v>760</v>
      </c>
      <c r="U116" s="52">
        <f>T116/F116</f>
        <v>3.064516129032258</v>
      </c>
      <c r="V116" s="52">
        <f t="shared" si="23"/>
        <v>319</v>
      </c>
      <c r="W116" s="52">
        <v>0</v>
      </c>
      <c r="X116" s="53">
        <f t="shared" si="24"/>
        <v>138</v>
      </c>
      <c r="Y116" s="43" t="s">
        <v>148</v>
      </c>
      <c r="AC116" s="168">
        <f t="shared" si="22"/>
        <v>1447</v>
      </c>
      <c r="AD116" s="169">
        <v>760</v>
      </c>
      <c r="AE116" s="168">
        <v>230</v>
      </c>
      <c r="AF116" s="168">
        <v>204</v>
      </c>
      <c r="AG116" s="168">
        <v>71</v>
      </c>
      <c r="AH116" s="168">
        <v>44</v>
      </c>
      <c r="AI116" s="168"/>
      <c r="AJ116" s="168"/>
      <c r="AK116" s="170"/>
      <c r="AL116" s="170">
        <v>121</v>
      </c>
      <c r="AM116" s="168"/>
      <c r="AN116" s="170"/>
      <c r="AO116" s="168"/>
      <c r="AP116" s="168"/>
      <c r="AQ116" s="168">
        <v>17</v>
      </c>
      <c r="AR116" s="171"/>
      <c r="AS116" s="159"/>
    </row>
    <row r="117" spans="1:45" x14ac:dyDescent="0.3">
      <c r="A117" s="300"/>
      <c r="B117" s="302"/>
      <c r="C117" s="296"/>
      <c r="D117" s="18" t="s">
        <v>449</v>
      </c>
      <c r="E117" s="76">
        <v>9810592000042</v>
      </c>
      <c r="F117" s="16">
        <v>248</v>
      </c>
      <c r="G117" s="8" t="s">
        <v>16</v>
      </c>
      <c r="H117" s="26" t="s">
        <v>12</v>
      </c>
      <c r="I117" s="26" t="s">
        <v>47</v>
      </c>
      <c r="J117" s="26"/>
      <c r="K117" s="67">
        <v>9000</v>
      </c>
      <c r="L117" s="131">
        <f t="shared" si="18"/>
        <v>2340</v>
      </c>
      <c r="M117" s="157">
        <f t="shared" si="14"/>
        <v>8.2222222222222224E-2</v>
      </c>
      <c r="N117" s="131">
        <f t="shared" si="19"/>
        <v>5400</v>
      </c>
      <c r="O117" s="132">
        <f t="shared" si="15"/>
        <v>0.42222222222222222</v>
      </c>
      <c r="P117" s="73">
        <v>1600</v>
      </c>
      <c r="Q117" s="56">
        <f t="shared" si="20"/>
        <v>123</v>
      </c>
      <c r="R117" s="48">
        <f t="shared" si="16"/>
        <v>1477</v>
      </c>
      <c r="S117" s="52">
        <v>260</v>
      </c>
      <c r="T117" s="52">
        <v>760</v>
      </c>
      <c r="U117" s="52">
        <f>T117/F117</f>
        <v>3.064516129032258</v>
      </c>
      <c r="V117" s="52">
        <f t="shared" si="23"/>
        <v>319</v>
      </c>
      <c r="W117" s="52">
        <v>0</v>
      </c>
      <c r="X117" s="53">
        <f t="shared" si="24"/>
        <v>138</v>
      </c>
      <c r="Y117" s="43" t="s">
        <v>148</v>
      </c>
      <c r="AC117" s="168">
        <f t="shared" si="22"/>
        <v>1447</v>
      </c>
      <c r="AD117" s="169">
        <v>760</v>
      </c>
      <c r="AE117" s="168">
        <v>230</v>
      </c>
      <c r="AF117" s="168">
        <v>204</v>
      </c>
      <c r="AG117" s="168">
        <v>71</v>
      </c>
      <c r="AH117" s="168">
        <v>44</v>
      </c>
      <c r="AI117" s="168"/>
      <c r="AJ117" s="168"/>
      <c r="AK117" s="170"/>
      <c r="AL117" s="170">
        <v>121</v>
      </c>
      <c r="AM117" s="168"/>
      <c r="AN117" s="170"/>
      <c r="AO117" s="168"/>
      <c r="AP117" s="168"/>
      <c r="AQ117" s="168">
        <v>17</v>
      </c>
      <c r="AR117" s="171"/>
      <c r="AS117" s="159"/>
    </row>
    <row r="118" spans="1:45" x14ac:dyDescent="0.3">
      <c r="A118" s="300"/>
      <c r="B118" s="302"/>
      <c r="C118" s="296"/>
      <c r="D118" s="18" t="s">
        <v>450</v>
      </c>
      <c r="E118" s="76">
        <v>9810592000047</v>
      </c>
      <c r="F118" s="16">
        <v>248</v>
      </c>
      <c r="G118" s="8" t="s">
        <v>16</v>
      </c>
      <c r="H118" s="26" t="s">
        <v>12</v>
      </c>
      <c r="I118" s="26" t="s">
        <v>47</v>
      </c>
      <c r="J118" s="26"/>
      <c r="K118" s="67">
        <v>9000</v>
      </c>
      <c r="L118" s="131">
        <f t="shared" si="18"/>
        <v>2340</v>
      </c>
      <c r="M118" s="157">
        <f t="shared" si="14"/>
        <v>8.2222222222222224E-2</v>
      </c>
      <c r="N118" s="131">
        <f t="shared" si="19"/>
        <v>5400</v>
      </c>
      <c r="O118" s="132">
        <f t="shared" si="15"/>
        <v>0.42222222222222222</v>
      </c>
      <c r="P118" s="73">
        <v>1600</v>
      </c>
      <c r="Q118" s="56">
        <f t="shared" si="20"/>
        <v>123</v>
      </c>
      <c r="R118" s="48">
        <f t="shared" si="16"/>
        <v>1477</v>
      </c>
      <c r="S118" s="52">
        <v>260</v>
      </c>
      <c r="T118" s="52">
        <v>760</v>
      </c>
      <c r="U118" s="52">
        <f>T118/F118</f>
        <v>3.064516129032258</v>
      </c>
      <c r="V118" s="52">
        <f t="shared" si="23"/>
        <v>319</v>
      </c>
      <c r="W118" s="52">
        <v>0</v>
      </c>
      <c r="X118" s="53">
        <f t="shared" si="24"/>
        <v>138</v>
      </c>
      <c r="Y118" s="43" t="s">
        <v>148</v>
      </c>
      <c r="AC118" s="168">
        <f t="shared" si="22"/>
        <v>1447</v>
      </c>
      <c r="AD118" s="169">
        <v>760</v>
      </c>
      <c r="AE118" s="168">
        <v>230</v>
      </c>
      <c r="AF118" s="168">
        <v>204</v>
      </c>
      <c r="AG118" s="168">
        <v>71</v>
      </c>
      <c r="AH118" s="168">
        <v>44</v>
      </c>
      <c r="AI118" s="168"/>
      <c r="AJ118" s="168"/>
      <c r="AK118" s="170"/>
      <c r="AL118" s="170">
        <v>121</v>
      </c>
      <c r="AM118" s="168"/>
      <c r="AN118" s="170"/>
      <c r="AO118" s="168"/>
      <c r="AP118" s="168"/>
      <c r="AQ118" s="168">
        <v>17</v>
      </c>
      <c r="AR118" s="171"/>
      <c r="AS118" s="159"/>
    </row>
    <row r="119" spans="1:45" x14ac:dyDescent="0.3">
      <c r="A119" s="300"/>
      <c r="B119" s="294" t="s">
        <v>53</v>
      </c>
      <c r="C119" s="295" t="s">
        <v>54</v>
      </c>
      <c r="D119" s="10" t="s">
        <v>451</v>
      </c>
      <c r="E119" s="76">
        <v>9810592000010</v>
      </c>
      <c r="F119" s="16">
        <v>30</v>
      </c>
      <c r="G119" s="8" t="s">
        <v>16</v>
      </c>
      <c r="H119" s="26" t="s">
        <v>27</v>
      </c>
      <c r="I119" s="26" t="s">
        <v>73</v>
      </c>
      <c r="J119" s="26" t="s">
        <v>78</v>
      </c>
      <c r="K119" s="67">
        <v>5000</v>
      </c>
      <c r="L119" s="131">
        <f t="shared" si="18"/>
        <v>1300</v>
      </c>
      <c r="M119" s="157">
        <f t="shared" si="14"/>
        <v>0.06</v>
      </c>
      <c r="N119" s="131">
        <f t="shared" si="19"/>
        <v>3000</v>
      </c>
      <c r="O119" s="132">
        <f t="shared" si="15"/>
        <v>0.4</v>
      </c>
      <c r="P119" s="73">
        <v>1000</v>
      </c>
      <c r="Q119" s="56">
        <f t="shared" si="20"/>
        <v>175</v>
      </c>
      <c r="R119" s="48">
        <f t="shared" si="16"/>
        <v>825</v>
      </c>
      <c r="S119" s="52">
        <v>300</v>
      </c>
      <c r="T119" s="52">
        <v>217</v>
      </c>
      <c r="U119" s="52">
        <f t="shared" ref="U119:U141" si="25">T119/F119</f>
        <v>7.2333333333333334</v>
      </c>
      <c r="V119" s="52">
        <v>198</v>
      </c>
      <c r="W119" s="52">
        <v>110</v>
      </c>
      <c r="X119" s="52"/>
      <c r="Y119" s="43" t="s">
        <v>134</v>
      </c>
      <c r="AA119" s="40" t="s">
        <v>53</v>
      </c>
      <c r="AB119" s="40">
        <v>6</v>
      </c>
      <c r="AC119" s="172">
        <f t="shared" si="22"/>
        <v>825</v>
      </c>
      <c r="AD119" s="169">
        <v>217</v>
      </c>
      <c r="AE119" s="169">
        <v>300</v>
      </c>
      <c r="AF119" s="168">
        <v>198</v>
      </c>
      <c r="AG119" s="168"/>
      <c r="AH119" s="168"/>
      <c r="AI119" s="168"/>
      <c r="AJ119" s="168"/>
      <c r="AK119" s="170">
        <v>110</v>
      </c>
      <c r="AL119" s="170"/>
      <c r="AM119" s="168"/>
      <c r="AN119" s="170"/>
      <c r="AO119" s="168"/>
      <c r="AP119" s="168"/>
      <c r="AQ119" s="168">
        <f>X119/1.1</f>
        <v>0</v>
      </c>
      <c r="AR119" s="171"/>
      <c r="AS119" s="159"/>
    </row>
    <row r="120" spans="1:45" x14ac:dyDescent="0.3">
      <c r="A120" s="300"/>
      <c r="B120" s="294"/>
      <c r="C120" s="295"/>
      <c r="D120" s="10" t="s">
        <v>452</v>
      </c>
      <c r="E120" s="76">
        <v>9810592000012</v>
      </c>
      <c r="F120" s="16">
        <v>30</v>
      </c>
      <c r="G120" s="8" t="s">
        <v>16</v>
      </c>
      <c r="H120" s="26" t="s">
        <v>27</v>
      </c>
      <c r="I120" s="26" t="s">
        <v>73</v>
      </c>
      <c r="J120" s="26" t="s">
        <v>78</v>
      </c>
      <c r="K120" s="67">
        <v>5000</v>
      </c>
      <c r="L120" s="131">
        <f t="shared" si="18"/>
        <v>1300</v>
      </c>
      <c r="M120" s="157">
        <f t="shared" si="14"/>
        <v>0.06</v>
      </c>
      <c r="N120" s="131">
        <f t="shared" si="19"/>
        <v>3000</v>
      </c>
      <c r="O120" s="132">
        <f t="shared" si="15"/>
        <v>0.4</v>
      </c>
      <c r="P120" s="73">
        <v>1000</v>
      </c>
      <c r="Q120" s="56">
        <f t="shared" si="20"/>
        <v>175</v>
      </c>
      <c r="R120" s="48">
        <f t="shared" si="16"/>
        <v>825</v>
      </c>
      <c r="S120" s="52">
        <v>300</v>
      </c>
      <c r="T120" s="52">
        <v>217</v>
      </c>
      <c r="U120" s="52">
        <f t="shared" si="25"/>
        <v>7.2333333333333334</v>
      </c>
      <c r="V120" s="52">
        <v>198</v>
      </c>
      <c r="W120" s="52">
        <v>110</v>
      </c>
      <c r="X120" s="52"/>
      <c r="Y120" s="43" t="s">
        <v>134</v>
      </c>
      <c r="AC120" s="172">
        <f t="shared" si="22"/>
        <v>825</v>
      </c>
      <c r="AD120" s="169">
        <v>217</v>
      </c>
      <c r="AE120" s="169">
        <v>300</v>
      </c>
      <c r="AF120" s="168">
        <v>198</v>
      </c>
      <c r="AG120" s="168"/>
      <c r="AH120" s="168"/>
      <c r="AI120" s="168"/>
      <c r="AJ120" s="168"/>
      <c r="AK120" s="170">
        <v>110</v>
      </c>
      <c r="AL120" s="170"/>
      <c r="AM120" s="168"/>
      <c r="AN120" s="170"/>
      <c r="AO120" s="168"/>
      <c r="AP120" s="168"/>
      <c r="AQ120" s="168">
        <f>X120/1.1</f>
        <v>0</v>
      </c>
      <c r="AR120" s="171"/>
      <c r="AS120" s="159"/>
    </row>
    <row r="121" spans="1:45" x14ac:dyDescent="0.3">
      <c r="A121" s="300"/>
      <c r="B121" s="294"/>
      <c r="C121" s="295"/>
      <c r="D121" s="10" t="s">
        <v>453</v>
      </c>
      <c r="E121" s="76">
        <v>9810592000011</v>
      </c>
      <c r="F121" s="16">
        <v>30</v>
      </c>
      <c r="G121" s="8" t="s">
        <v>16</v>
      </c>
      <c r="H121" s="26" t="s">
        <v>27</v>
      </c>
      <c r="I121" s="26" t="s">
        <v>73</v>
      </c>
      <c r="J121" s="26" t="s">
        <v>78</v>
      </c>
      <c r="K121" s="67">
        <v>5000</v>
      </c>
      <c r="L121" s="131">
        <f t="shared" si="18"/>
        <v>1300</v>
      </c>
      <c r="M121" s="157">
        <f t="shared" si="14"/>
        <v>0.06</v>
      </c>
      <c r="N121" s="131">
        <f t="shared" si="19"/>
        <v>3000</v>
      </c>
      <c r="O121" s="132">
        <f t="shared" si="15"/>
        <v>0.4</v>
      </c>
      <c r="P121" s="73">
        <v>1000</v>
      </c>
      <c r="Q121" s="56">
        <f t="shared" si="20"/>
        <v>175</v>
      </c>
      <c r="R121" s="48">
        <f t="shared" si="16"/>
        <v>825</v>
      </c>
      <c r="S121" s="52">
        <v>300</v>
      </c>
      <c r="T121" s="52">
        <v>217</v>
      </c>
      <c r="U121" s="52">
        <f t="shared" si="25"/>
        <v>7.2333333333333334</v>
      </c>
      <c r="V121" s="52">
        <v>198</v>
      </c>
      <c r="W121" s="52">
        <v>110</v>
      </c>
      <c r="X121" s="52"/>
      <c r="Y121" s="43" t="s">
        <v>134</v>
      </c>
      <c r="AC121" s="172">
        <f t="shared" si="22"/>
        <v>825</v>
      </c>
      <c r="AD121" s="169">
        <v>217</v>
      </c>
      <c r="AE121" s="169">
        <v>300</v>
      </c>
      <c r="AF121" s="168">
        <v>198</v>
      </c>
      <c r="AG121" s="168"/>
      <c r="AH121" s="168"/>
      <c r="AI121" s="168"/>
      <c r="AJ121" s="168"/>
      <c r="AK121" s="170">
        <v>110</v>
      </c>
      <c r="AL121" s="170"/>
      <c r="AM121" s="168"/>
      <c r="AN121" s="170"/>
      <c r="AO121" s="168"/>
      <c r="AP121" s="168"/>
      <c r="AQ121" s="168">
        <f>X121/1.1</f>
        <v>0</v>
      </c>
      <c r="AR121" s="171"/>
      <c r="AS121" s="159"/>
    </row>
    <row r="122" spans="1:45" x14ac:dyDescent="0.3">
      <c r="A122" s="300"/>
      <c r="B122" s="294"/>
      <c r="C122" s="295"/>
      <c r="D122" s="7" t="s">
        <v>454</v>
      </c>
      <c r="E122" s="76">
        <v>9810592000015</v>
      </c>
      <c r="F122" s="16">
        <v>80</v>
      </c>
      <c r="G122" s="8" t="s">
        <v>8</v>
      </c>
      <c r="H122" s="26" t="s">
        <v>12</v>
      </c>
      <c r="I122" s="26" t="s">
        <v>74</v>
      </c>
      <c r="J122" s="26" t="s">
        <v>78</v>
      </c>
      <c r="K122" s="67">
        <v>15000</v>
      </c>
      <c r="L122" s="131">
        <f t="shared" si="18"/>
        <v>3900</v>
      </c>
      <c r="M122" s="157">
        <f t="shared" si="14"/>
        <v>8.666666666666667E-2</v>
      </c>
      <c r="N122" s="131">
        <f t="shared" si="19"/>
        <v>9000</v>
      </c>
      <c r="O122" s="132">
        <f t="shared" si="15"/>
        <v>0.42666666666666669</v>
      </c>
      <c r="P122" s="73">
        <v>2600</v>
      </c>
      <c r="Q122" s="56">
        <f t="shared" si="20"/>
        <v>126</v>
      </c>
      <c r="R122" s="48">
        <f>S122+T122+V122+W122+X122</f>
        <v>2474</v>
      </c>
      <c r="S122" s="52">
        <v>530</v>
      </c>
      <c r="T122" s="52">
        <v>310</v>
      </c>
      <c r="U122" s="52">
        <f t="shared" si="25"/>
        <v>3.875</v>
      </c>
      <c r="V122" s="52">
        <v>1265</v>
      </c>
      <c r="W122" s="52">
        <v>215</v>
      </c>
      <c r="X122" s="53">
        <v>154</v>
      </c>
      <c r="Y122" s="43" t="s">
        <v>147</v>
      </c>
      <c r="AC122" s="172">
        <f t="shared" si="22"/>
        <v>2474</v>
      </c>
      <c r="AD122" s="168">
        <v>310</v>
      </c>
      <c r="AE122" s="169">
        <v>530</v>
      </c>
      <c r="AF122" s="168">
        <v>1265</v>
      </c>
      <c r="AG122" s="168"/>
      <c r="AH122" s="168"/>
      <c r="AI122" s="168"/>
      <c r="AJ122" s="168"/>
      <c r="AK122" s="170">
        <v>215</v>
      </c>
      <c r="AL122" s="170">
        <f t="shared" ref="AL122:AM124" si="26">70*1.1</f>
        <v>77</v>
      </c>
      <c r="AM122" s="168">
        <f t="shared" si="26"/>
        <v>77</v>
      </c>
      <c r="AN122" s="170"/>
      <c r="AO122" s="168"/>
      <c r="AP122" s="168"/>
      <c r="AQ122" s="168">
        <v>0</v>
      </c>
      <c r="AR122" s="171"/>
      <c r="AS122" s="159"/>
    </row>
    <row r="123" spans="1:45" x14ac:dyDescent="0.3">
      <c r="A123" s="300"/>
      <c r="B123" s="294"/>
      <c r="C123" s="295"/>
      <c r="D123" s="7" t="s">
        <v>455</v>
      </c>
      <c r="E123" s="76">
        <v>9810592000013</v>
      </c>
      <c r="F123" s="16">
        <v>80</v>
      </c>
      <c r="G123" s="8" t="s">
        <v>8</v>
      </c>
      <c r="H123" s="26" t="s">
        <v>12</v>
      </c>
      <c r="I123" s="26" t="s">
        <v>74</v>
      </c>
      <c r="J123" s="26" t="s">
        <v>78</v>
      </c>
      <c r="K123" s="67">
        <v>15000</v>
      </c>
      <c r="L123" s="131">
        <f t="shared" si="18"/>
        <v>3900</v>
      </c>
      <c r="M123" s="157">
        <f t="shared" si="14"/>
        <v>8.666666666666667E-2</v>
      </c>
      <c r="N123" s="131">
        <f t="shared" si="19"/>
        <v>9000</v>
      </c>
      <c r="O123" s="132">
        <f t="shared" si="15"/>
        <v>0.42666666666666669</v>
      </c>
      <c r="P123" s="73">
        <v>2600</v>
      </c>
      <c r="Q123" s="56">
        <f t="shared" si="20"/>
        <v>126</v>
      </c>
      <c r="R123" s="48">
        <f t="shared" si="16"/>
        <v>2474</v>
      </c>
      <c r="S123" s="52">
        <v>530</v>
      </c>
      <c r="T123" s="52">
        <v>310</v>
      </c>
      <c r="U123" s="52">
        <f t="shared" si="25"/>
        <v>3.875</v>
      </c>
      <c r="V123" s="52">
        <v>1265</v>
      </c>
      <c r="W123" s="52">
        <v>215</v>
      </c>
      <c r="X123" s="53">
        <v>154</v>
      </c>
      <c r="Y123" s="43" t="s">
        <v>147</v>
      </c>
      <c r="AC123" s="172">
        <f t="shared" si="22"/>
        <v>2474</v>
      </c>
      <c r="AD123" s="168">
        <v>310</v>
      </c>
      <c r="AE123" s="169">
        <v>530</v>
      </c>
      <c r="AF123" s="168">
        <v>1265</v>
      </c>
      <c r="AG123" s="168"/>
      <c r="AH123" s="168"/>
      <c r="AI123" s="168"/>
      <c r="AJ123" s="168"/>
      <c r="AK123" s="170">
        <v>215</v>
      </c>
      <c r="AL123" s="170">
        <f t="shared" si="26"/>
        <v>77</v>
      </c>
      <c r="AM123" s="168">
        <f t="shared" si="26"/>
        <v>77</v>
      </c>
      <c r="AN123" s="170"/>
      <c r="AO123" s="168"/>
      <c r="AP123" s="168"/>
      <c r="AQ123" s="168">
        <v>0</v>
      </c>
      <c r="AR123" s="171"/>
      <c r="AS123" s="159"/>
    </row>
    <row r="124" spans="1:45" x14ac:dyDescent="0.3">
      <c r="A124" s="300"/>
      <c r="B124" s="294"/>
      <c r="C124" s="295"/>
      <c r="D124" s="7" t="s">
        <v>456</v>
      </c>
      <c r="E124" s="76">
        <v>9810592000014</v>
      </c>
      <c r="F124" s="16">
        <v>80</v>
      </c>
      <c r="G124" s="8" t="s">
        <v>8</v>
      </c>
      <c r="H124" s="26" t="s">
        <v>12</v>
      </c>
      <c r="I124" s="26" t="s">
        <v>74</v>
      </c>
      <c r="J124" s="26" t="s">
        <v>78</v>
      </c>
      <c r="K124" s="67">
        <v>15000</v>
      </c>
      <c r="L124" s="131">
        <f t="shared" si="18"/>
        <v>3900</v>
      </c>
      <c r="M124" s="157">
        <f t="shared" si="14"/>
        <v>8.666666666666667E-2</v>
      </c>
      <c r="N124" s="131">
        <f t="shared" si="19"/>
        <v>9000</v>
      </c>
      <c r="O124" s="132">
        <f t="shared" si="15"/>
        <v>0.42666666666666669</v>
      </c>
      <c r="P124" s="73">
        <v>2600</v>
      </c>
      <c r="Q124" s="56">
        <f t="shared" si="20"/>
        <v>126</v>
      </c>
      <c r="R124" s="48">
        <f>S124+T124+V124+W124+X124</f>
        <v>2474</v>
      </c>
      <c r="S124" s="52">
        <v>530</v>
      </c>
      <c r="T124" s="52">
        <v>310</v>
      </c>
      <c r="U124" s="52">
        <f t="shared" si="25"/>
        <v>3.875</v>
      </c>
      <c r="V124" s="52">
        <v>1265</v>
      </c>
      <c r="W124" s="52">
        <v>215</v>
      </c>
      <c r="X124" s="53">
        <v>154</v>
      </c>
      <c r="Y124" s="43" t="s">
        <v>147</v>
      </c>
      <c r="AC124" s="172">
        <f t="shared" si="22"/>
        <v>2474</v>
      </c>
      <c r="AD124" s="168">
        <v>310</v>
      </c>
      <c r="AE124" s="169">
        <v>530</v>
      </c>
      <c r="AF124" s="168">
        <v>1265</v>
      </c>
      <c r="AG124" s="168"/>
      <c r="AH124" s="168"/>
      <c r="AI124" s="168"/>
      <c r="AJ124" s="168"/>
      <c r="AK124" s="170">
        <v>215</v>
      </c>
      <c r="AL124" s="170">
        <f t="shared" si="26"/>
        <v>77</v>
      </c>
      <c r="AM124" s="168">
        <f t="shared" si="26"/>
        <v>77</v>
      </c>
      <c r="AN124" s="170"/>
      <c r="AO124" s="168"/>
      <c r="AP124" s="168"/>
      <c r="AQ124" s="168">
        <v>0</v>
      </c>
      <c r="AR124" s="171"/>
      <c r="AS124" s="159"/>
    </row>
    <row r="125" spans="1:45" hidden="1" x14ac:dyDescent="0.3">
      <c r="A125" s="300"/>
      <c r="B125" s="294" t="s">
        <v>56</v>
      </c>
      <c r="C125" s="296" t="s">
        <v>57</v>
      </c>
      <c r="D125" s="18" t="s">
        <v>457</v>
      </c>
      <c r="E125" s="76">
        <v>9810592000213</v>
      </c>
      <c r="F125" s="12">
        <v>50</v>
      </c>
      <c r="G125" s="8" t="s">
        <v>16</v>
      </c>
      <c r="H125" s="26" t="s">
        <v>12</v>
      </c>
      <c r="I125" s="26" t="s">
        <v>33</v>
      </c>
      <c r="J125" s="26" t="s">
        <v>77</v>
      </c>
      <c r="K125" s="67">
        <v>21000</v>
      </c>
      <c r="L125" s="131">
        <f t="shared" si="18"/>
        <v>5460</v>
      </c>
      <c r="M125" s="157">
        <f t="shared" si="14"/>
        <v>0.11714285714285715</v>
      </c>
      <c r="N125" s="131">
        <f t="shared" si="19"/>
        <v>12600</v>
      </c>
      <c r="O125" s="132">
        <f t="shared" si="15"/>
        <v>0.45714285714285713</v>
      </c>
      <c r="P125" s="73">
        <v>3000</v>
      </c>
      <c r="Q125" s="56">
        <f t="shared" si="20"/>
        <v>335</v>
      </c>
      <c r="R125" s="48">
        <f t="shared" si="16"/>
        <v>2665</v>
      </c>
      <c r="S125" s="52">
        <v>800</v>
      </c>
      <c r="T125" s="52">
        <v>440</v>
      </c>
      <c r="U125" s="52">
        <f t="shared" si="25"/>
        <v>8.8000000000000007</v>
      </c>
      <c r="V125" s="52">
        <v>1298</v>
      </c>
      <c r="W125" s="52">
        <v>127</v>
      </c>
      <c r="X125" s="52"/>
      <c r="Y125" s="43" t="s">
        <v>136</v>
      </c>
      <c r="AA125" s="40" t="s">
        <v>56</v>
      </c>
      <c r="AB125" s="40">
        <v>2</v>
      </c>
    </row>
    <row r="126" spans="1:45" hidden="1" x14ac:dyDescent="0.3">
      <c r="A126" s="300"/>
      <c r="B126" s="294"/>
      <c r="C126" s="296"/>
      <c r="D126" s="18" t="s">
        <v>458</v>
      </c>
      <c r="E126" s="76">
        <v>9810592000214</v>
      </c>
      <c r="F126" s="12">
        <v>15</v>
      </c>
      <c r="G126" s="8" t="s">
        <v>8</v>
      </c>
      <c r="H126" s="26" t="s">
        <v>27</v>
      </c>
      <c r="I126" s="26" t="s">
        <v>33</v>
      </c>
      <c r="J126" s="26" t="s">
        <v>77</v>
      </c>
      <c r="K126" s="67">
        <v>19000</v>
      </c>
      <c r="L126" s="131">
        <f t="shared" si="18"/>
        <v>4940</v>
      </c>
      <c r="M126" s="157">
        <f t="shared" si="14"/>
        <v>0.11263157894736842</v>
      </c>
      <c r="N126" s="131">
        <f t="shared" si="19"/>
        <v>11400</v>
      </c>
      <c r="O126" s="132">
        <f t="shared" si="15"/>
        <v>0.45263157894736844</v>
      </c>
      <c r="P126" s="73">
        <v>2800</v>
      </c>
      <c r="Q126" s="56">
        <f t="shared" si="20"/>
        <v>243</v>
      </c>
      <c r="R126" s="48">
        <f t="shared" si="16"/>
        <v>2557</v>
      </c>
      <c r="S126" s="52">
        <v>800</v>
      </c>
      <c r="T126" s="52">
        <v>300</v>
      </c>
      <c r="U126" s="52">
        <f t="shared" si="25"/>
        <v>20</v>
      </c>
      <c r="V126" s="52">
        <v>1320</v>
      </c>
      <c r="W126" s="52">
        <v>137</v>
      </c>
      <c r="X126" s="52"/>
      <c r="Y126" s="41" t="s">
        <v>142</v>
      </c>
    </row>
    <row r="127" spans="1:45" ht="10.9" hidden="1" customHeight="1" x14ac:dyDescent="0.3">
      <c r="A127" s="300"/>
      <c r="B127" s="294" t="s">
        <v>58</v>
      </c>
      <c r="C127" s="296" t="s">
        <v>59</v>
      </c>
      <c r="D127" s="18" t="s">
        <v>459</v>
      </c>
      <c r="E127" s="76">
        <v>9810592000249</v>
      </c>
      <c r="F127" s="12">
        <v>120</v>
      </c>
      <c r="G127" s="8" t="s">
        <v>16</v>
      </c>
      <c r="H127" s="26" t="s">
        <v>12</v>
      </c>
      <c r="I127" s="26" t="s">
        <v>35</v>
      </c>
      <c r="J127" s="26"/>
      <c r="K127" s="67">
        <v>12000</v>
      </c>
      <c r="L127" s="131">
        <f t="shared" si="18"/>
        <v>3120</v>
      </c>
      <c r="M127" s="157">
        <f t="shared" si="14"/>
        <v>0.11</v>
      </c>
      <c r="N127" s="131">
        <f t="shared" si="19"/>
        <v>7200</v>
      </c>
      <c r="O127" s="132">
        <f t="shared" si="15"/>
        <v>0.45</v>
      </c>
      <c r="P127" s="73">
        <v>1800</v>
      </c>
      <c r="Q127" s="56">
        <f t="shared" si="20"/>
        <v>177</v>
      </c>
      <c r="R127" s="48">
        <f t="shared" si="16"/>
        <v>1623</v>
      </c>
      <c r="S127" s="52">
        <v>156</v>
      </c>
      <c r="T127" s="52">
        <v>1024</v>
      </c>
      <c r="U127" s="52">
        <f t="shared" si="25"/>
        <v>8.5333333333333332</v>
      </c>
      <c r="V127" s="52">
        <v>429</v>
      </c>
      <c r="W127" s="52">
        <v>0</v>
      </c>
      <c r="X127" s="53">
        <v>14</v>
      </c>
      <c r="Y127" s="43" t="s">
        <v>149</v>
      </c>
      <c r="AA127" s="40" t="s">
        <v>58</v>
      </c>
      <c r="AB127" s="40">
        <v>5</v>
      </c>
    </row>
    <row r="128" spans="1:45" x14ac:dyDescent="0.3">
      <c r="A128" s="300"/>
      <c r="B128" s="294"/>
      <c r="C128" s="296"/>
      <c r="D128" s="18" t="s">
        <v>460</v>
      </c>
      <c r="E128" s="76">
        <v>9810592000251</v>
      </c>
      <c r="F128" s="12">
        <v>120</v>
      </c>
      <c r="G128" s="8" t="s">
        <v>8</v>
      </c>
      <c r="H128" s="26" t="s">
        <v>12</v>
      </c>
      <c r="I128" s="26" t="s">
        <v>35</v>
      </c>
      <c r="J128" s="26"/>
      <c r="K128" s="67">
        <v>9000</v>
      </c>
      <c r="L128" s="131">
        <f t="shared" si="18"/>
        <v>2340</v>
      </c>
      <c r="M128" s="157">
        <f t="shared" si="14"/>
        <v>8.2222222222222224E-2</v>
      </c>
      <c r="N128" s="131">
        <f t="shared" si="19"/>
        <v>5400</v>
      </c>
      <c r="O128" s="132">
        <f t="shared" si="15"/>
        <v>0.42222222222222222</v>
      </c>
      <c r="P128" s="73">
        <v>1600</v>
      </c>
      <c r="Q128" s="56">
        <f t="shared" si="20"/>
        <v>167</v>
      </c>
      <c r="R128" s="48">
        <f t="shared" si="16"/>
        <v>1433</v>
      </c>
      <c r="S128" s="52">
        <v>198</v>
      </c>
      <c r="T128" s="52">
        <v>792</v>
      </c>
      <c r="U128" s="52">
        <f t="shared" si="25"/>
        <v>6.6</v>
      </c>
      <c r="V128" s="52">
        <v>429</v>
      </c>
      <c r="W128" s="52">
        <v>0</v>
      </c>
      <c r="X128" s="53">
        <v>14</v>
      </c>
      <c r="Y128" s="43" t="s">
        <v>149</v>
      </c>
      <c r="AC128" s="168">
        <f t="shared" ref="AC128:AC131" si="27">SUM(AD128:AR128)</f>
        <v>1433.3</v>
      </c>
      <c r="AD128" s="169">
        <v>792</v>
      </c>
      <c r="AE128" s="168">
        <v>198</v>
      </c>
      <c r="AF128" s="168">
        <v>429</v>
      </c>
      <c r="AG128" s="168"/>
      <c r="AH128" s="168"/>
      <c r="AI128" s="168"/>
      <c r="AJ128" s="168"/>
      <c r="AK128" s="170"/>
      <c r="AL128" s="175"/>
      <c r="AM128" s="168"/>
      <c r="AN128" s="170"/>
      <c r="AO128" s="168"/>
      <c r="AP128" s="168"/>
      <c r="AQ128" s="168">
        <f>13*1.1</f>
        <v>14.3</v>
      </c>
      <c r="AR128" s="171"/>
      <c r="AS128" s="159"/>
    </row>
    <row r="129" spans="1:45" x14ac:dyDescent="0.3">
      <c r="A129" s="300"/>
      <c r="B129" s="294"/>
      <c r="C129" s="296"/>
      <c r="D129" s="18" t="s">
        <v>461</v>
      </c>
      <c r="E129" s="76">
        <v>9810592000250</v>
      </c>
      <c r="F129" s="16">
        <v>70</v>
      </c>
      <c r="G129" s="8" t="s">
        <v>199</v>
      </c>
      <c r="H129" s="26" t="s">
        <v>12</v>
      </c>
      <c r="I129" s="26" t="s">
        <v>70</v>
      </c>
      <c r="J129" s="26" t="s">
        <v>76</v>
      </c>
      <c r="K129" s="67">
        <v>15000</v>
      </c>
      <c r="L129" s="131">
        <f t="shared" si="18"/>
        <v>3900</v>
      </c>
      <c r="M129" s="157">
        <f t="shared" si="14"/>
        <v>4.6666666666666669E-2</v>
      </c>
      <c r="N129" s="131">
        <f t="shared" si="19"/>
        <v>9000</v>
      </c>
      <c r="O129" s="132">
        <f t="shared" si="15"/>
        <v>0.38666666666666666</v>
      </c>
      <c r="P129" s="73">
        <v>3200</v>
      </c>
      <c r="Q129" s="56">
        <f t="shared" si="20"/>
        <v>185</v>
      </c>
      <c r="R129" s="48">
        <f t="shared" si="16"/>
        <v>3015</v>
      </c>
      <c r="S129" s="52">
        <v>1200</v>
      </c>
      <c r="T129" s="52">
        <v>780</v>
      </c>
      <c r="U129" s="52">
        <f t="shared" si="25"/>
        <v>11.142857142857142</v>
      </c>
      <c r="V129" s="52">
        <v>600</v>
      </c>
      <c r="W129" s="52">
        <v>215</v>
      </c>
      <c r="X129" s="53">
        <v>220</v>
      </c>
      <c r="Y129" s="43" t="s">
        <v>150</v>
      </c>
      <c r="AC129" s="168">
        <f t="shared" si="27"/>
        <v>3014.5</v>
      </c>
      <c r="AD129" s="168">
        <v>800.8</v>
      </c>
      <c r="AE129" s="168">
        <v>550</v>
      </c>
      <c r="AF129" s="173">
        <v>1188</v>
      </c>
      <c r="AG129" s="168"/>
      <c r="AH129" s="168"/>
      <c r="AI129" s="168"/>
      <c r="AJ129" s="168"/>
      <c r="AK129" s="170">
        <f>195*1.1</f>
        <v>214.50000000000003</v>
      </c>
      <c r="AL129" s="170">
        <f>(80+120)*1.1</f>
        <v>220.00000000000003</v>
      </c>
      <c r="AM129" s="168"/>
      <c r="AN129" s="170"/>
      <c r="AO129" s="168"/>
      <c r="AP129" s="168"/>
      <c r="AQ129" s="168">
        <v>0</v>
      </c>
      <c r="AR129" s="171">
        <f>46.2-5</f>
        <v>41.2</v>
      </c>
      <c r="AS129" s="159"/>
    </row>
    <row r="130" spans="1:45" x14ac:dyDescent="0.3">
      <c r="A130" s="300"/>
      <c r="B130" s="294"/>
      <c r="C130" s="296"/>
      <c r="D130" s="18" t="s">
        <v>462</v>
      </c>
      <c r="E130" s="76">
        <v>9810592000252</v>
      </c>
      <c r="F130" s="16">
        <v>150</v>
      </c>
      <c r="G130" s="8" t="s">
        <v>16</v>
      </c>
      <c r="H130" s="26" t="s">
        <v>12</v>
      </c>
      <c r="I130" s="26" t="s">
        <v>30</v>
      </c>
      <c r="J130" s="26"/>
      <c r="K130" s="67">
        <v>13000</v>
      </c>
      <c r="L130" s="131">
        <f t="shared" si="18"/>
        <v>3380</v>
      </c>
      <c r="M130" s="157">
        <f t="shared" si="14"/>
        <v>0.06</v>
      </c>
      <c r="N130" s="131">
        <f t="shared" si="19"/>
        <v>7800</v>
      </c>
      <c r="O130" s="132">
        <f t="shared" si="15"/>
        <v>0.4</v>
      </c>
      <c r="P130" s="73">
        <v>2600</v>
      </c>
      <c r="Q130" s="56">
        <f t="shared" si="20"/>
        <v>131</v>
      </c>
      <c r="R130" s="48">
        <f t="shared" si="16"/>
        <v>2469</v>
      </c>
      <c r="S130" s="52">
        <v>213</v>
      </c>
      <c r="T130" s="52">
        <v>1397</v>
      </c>
      <c r="U130" s="52">
        <f t="shared" si="25"/>
        <v>9.3133333333333326</v>
      </c>
      <c r="V130" s="52">
        <f>330+363</f>
        <v>693</v>
      </c>
      <c r="W130" s="52">
        <v>0</v>
      </c>
      <c r="X130" s="53">
        <f>154+12</f>
        <v>166</v>
      </c>
      <c r="Y130" s="43" t="s">
        <v>151</v>
      </c>
      <c r="AC130" s="168">
        <f t="shared" si="27"/>
        <v>2439</v>
      </c>
      <c r="AD130" s="168">
        <v>1397</v>
      </c>
      <c r="AE130" s="173">
        <v>183</v>
      </c>
      <c r="AF130" s="168">
        <v>330</v>
      </c>
      <c r="AG130" s="168"/>
      <c r="AH130" s="168"/>
      <c r="AI130" s="168"/>
      <c r="AJ130" s="168">
        <v>363</v>
      </c>
      <c r="AK130" s="170"/>
      <c r="AL130" s="170">
        <v>154</v>
      </c>
      <c r="AM130" s="168">
        <v>0</v>
      </c>
      <c r="AN130" s="170"/>
      <c r="AO130" s="168"/>
      <c r="AP130" s="168"/>
      <c r="AQ130" s="168">
        <v>12</v>
      </c>
      <c r="AR130" s="171"/>
      <c r="AS130" s="159"/>
    </row>
    <row r="131" spans="1:45" x14ac:dyDescent="0.3">
      <c r="A131" s="300"/>
      <c r="B131" s="294"/>
      <c r="C131" s="296"/>
      <c r="D131" s="18" t="s">
        <v>463</v>
      </c>
      <c r="E131" s="76">
        <v>9810592000381</v>
      </c>
      <c r="F131" s="16">
        <v>38</v>
      </c>
      <c r="G131" s="8" t="s">
        <v>8</v>
      </c>
      <c r="H131" s="26" t="s">
        <v>60</v>
      </c>
      <c r="I131" s="26" t="s">
        <v>61</v>
      </c>
      <c r="J131" s="26"/>
      <c r="K131" s="67">
        <v>23000</v>
      </c>
      <c r="L131" s="131">
        <f t="shared" si="18"/>
        <v>5980</v>
      </c>
      <c r="M131" s="157">
        <f t="shared" si="14"/>
        <v>5.565217391304348E-2</v>
      </c>
      <c r="N131" s="131">
        <f t="shared" si="19"/>
        <v>13800</v>
      </c>
      <c r="O131" s="132">
        <f t="shared" si="15"/>
        <v>0.39565217391304347</v>
      </c>
      <c r="P131" s="73">
        <v>4700</v>
      </c>
      <c r="Q131" s="56">
        <f t="shared" si="20"/>
        <v>462</v>
      </c>
      <c r="R131" s="48">
        <f t="shared" si="16"/>
        <v>4238</v>
      </c>
      <c r="S131" s="52">
        <v>1490</v>
      </c>
      <c r="T131" s="52">
        <v>900</v>
      </c>
      <c r="U131" s="52">
        <f t="shared" si="25"/>
        <v>23.684210526315791</v>
      </c>
      <c r="V131" s="52">
        <v>1837</v>
      </c>
      <c r="W131" s="52">
        <v>0</v>
      </c>
      <c r="X131" s="52">
        <v>11</v>
      </c>
      <c r="Y131" s="43" t="s">
        <v>181</v>
      </c>
      <c r="AC131" s="168">
        <f t="shared" si="27"/>
        <v>4127</v>
      </c>
      <c r="AD131" s="169">
        <v>900</v>
      </c>
      <c r="AE131" s="169">
        <v>1490</v>
      </c>
      <c r="AF131" s="168">
        <v>1737</v>
      </c>
      <c r="AG131" s="168"/>
      <c r="AH131" s="168"/>
      <c r="AI131" s="168"/>
      <c r="AJ131" s="168"/>
      <c r="AK131" s="170"/>
      <c r="AL131" s="170"/>
      <c r="AM131" s="168"/>
      <c r="AN131" s="170"/>
      <c r="AO131" s="168"/>
      <c r="AP131" s="168"/>
      <c r="AQ131" s="168">
        <v>0</v>
      </c>
      <c r="AR131" s="171"/>
      <c r="AS131" s="159"/>
    </row>
    <row r="132" spans="1:45" hidden="1" x14ac:dyDescent="0.3">
      <c r="A132" s="300"/>
      <c r="B132" s="294" t="s">
        <v>62</v>
      </c>
      <c r="C132" s="296" t="s">
        <v>63</v>
      </c>
      <c r="D132" s="18" t="s">
        <v>464</v>
      </c>
      <c r="E132" s="76">
        <v>9810592000178</v>
      </c>
      <c r="F132" s="12">
        <v>360</v>
      </c>
      <c r="G132" s="8" t="s">
        <v>16</v>
      </c>
      <c r="H132" s="26" t="s">
        <v>27</v>
      </c>
      <c r="I132" s="26" t="s">
        <v>30</v>
      </c>
      <c r="J132" s="26"/>
      <c r="K132" s="67">
        <v>17000</v>
      </c>
      <c r="L132" s="131">
        <f t="shared" si="18"/>
        <v>4420</v>
      </c>
      <c r="M132" s="157">
        <f t="shared" si="14"/>
        <v>0.12470588235294118</v>
      </c>
      <c r="N132" s="131">
        <f t="shared" si="19"/>
        <v>10200</v>
      </c>
      <c r="O132" s="132">
        <f t="shared" si="15"/>
        <v>0.46470588235294119</v>
      </c>
      <c r="P132" s="73">
        <v>2300</v>
      </c>
      <c r="Q132" s="56">
        <f t="shared" si="20"/>
        <v>100</v>
      </c>
      <c r="R132" s="48">
        <f t="shared" si="16"/>
        <v>2200</v>
      </c>
      <c r="S132" s="52">
        <v>1090</v>
      </c>
      <c r="T132" s="52">
        <v>637</v>
      </c>
      <c r="U132" s="52">
        <f t="shared" si="25"/>
        <v>1.7694444444444444</v>
      </c>
      <c r="V132" s="52">
        <v>308</v>
      </c>
      <c r="W132" s="52">
        <v>0</v>
      </c>
      <c r="X132" s="69">
        <v>165</v>
      </c>
      <c r="Y132" s="41" t="s">
        <v>152</v>
      </c>
      <c r="AA132" s="40" t="s">
        <v>62</v>
      </c>
      <c r="AB132" s="40">
        <v>8</v>
      </c>
    </row>
    <row r="133" spans="1:45" hidden="1" x14ac:dyDescent="0.3">
      <c r="A133" s="300"/>
      <c r="B133" s="294"/>
      <c r="C133" s="296"/>
      <c r="D133" s="18" t="s">
        <v>465</v>
      </c>
      <c r="E133" s="76">
        <v>9810592000176</v>
      </c>
      <c r="F133" s="12">
        <v>150</v>
      </c>
      <c r="G133" s="8" t="s">
        <v>16</v>
      </c>
      <c r="H133" s="26" t="s">
        <v>27</v>
      </c>
      <c r="I133" s="26" t="s">
        <v>35</v>
      </c>
      <c r="J133" s="26"/>
      <c r="K133" s="67">
        <v>16000</v>
      </c>
      <c r="L133" s="131">
        <f t="shared" si="18"/>
        <v>4160</v>
      </c>
      <c r="M133" s="157">
        <f t="shared" si="14"/>
        <v>0.1225</v>
      </c>
      <c r="N133" s="131">
        <f t="shared" si="19"/>
        <v>9600</v>
      </c>
      <c r="O133" s="132">
        <f t="shared" si="15"/>
        <v>0.46250000000000002</v>
      </c>
      <c r="P133" s="73">
        <v>2200</v>
      </c>
      <c r="Q133" s="56">
        <f t="shared" si="20"/>
        <v>183</v>
      </c>
      <c r="R133" s="48">
        <f t="shared" ref="R133:R160" si="28">S133+T133+V133+W133+X133</f>
        <v>2017</v>
      </c>
      <c r="S133" s="52">
        <v>980</v>
      </c>
      <c r="T133" s="52">
        <v>659</v>
      </c>
      <c r="U133" s="52">
        <f t="shared" si="25"/>
        <v>4.3933333333333335</v>
      </c>
      <c r="V133" s="52">
        <v>363</v>
      </c>
      <c r="W133" s="52">
        <v>0</v>
      </c>
      <c r="X133" s="53">
        <v>15</v>
      </c>
      <c r="Y133" s="41" t="s">
        <v>153</v>
      </c>
    </row>
    <row r="134" spans="1:45" hidden="1" x14ac:dyDescent="0.3">
      <c r="A134" s="300"/>
      <c r="B134" s="294"/>
      <c r="C134" s="296"/>
      <c r="D134" s="18" t="s">
        <v>466</v>
      </c>
      <c r="E134" s="76">
        <v>9810592000177</v>
      </c>
      <c r="F134" s="12">
        <v>360</v>
      </c>
      <c r="G134" s="8" t="s">
        <v>16</v>
      </c>
      <c r="H134" s="26" t="s">
        <v>27</v>
      </c>
      <c r="I134" s="26" t="s">
        <v>28</v>
      </c>
      <c r="J134" s="26"/>
      <c r="K134" s="67">
        <v>17000</v>
      </c>
      <c r="L134" s="131">
        <f t="shared" ref="L134:L161" si="29">K134*26%</f>
        <v>4420</v>
      </c>
      <c r="M134" s="157">
        <f t="shared" ref="M134:M161" si="30">(L134-P134)/K134</f>
        <v>0.12470588235294118</v>
      </c>
      <c r="N134" s="131">
        <f t="shared" ref="N134:N161" si="31">K134*60%</f>
        <v>10200</v>
      </c>
      <c r="O134" s="132">
        <f t="shared" ref="O134:O161" si="32">(N134-P134)/K134</f>
        <v>0.46470588235294119</v>
      </c>
      <c r="P134" s="73">
        <v>2300</v>
      </c>
      <c r="Q134" s="56">
        <f t="shared" ref="Q134:Q160" si="33">P134-R134</f>
        <v>100</v>
      </c>
      <c r="R134" s="48">
        <f t="shared" si="28"/>
        <v>2200</v>
      </c>
      <c r="S134" s="52">
        <v>1080</v>
      </c>
      <c r="T134" s="52">
        <v>647</v>
      </c>
      <c r="U134" s="52">
        <f t="shared" si="25"/>
        <v>1.7972222222222223</v>
      </c>
      <c r="V134" s="52">
        <v>308</v>
      </c>
      <c r="W134" s="52">
        <v>0</v>
      </c>
      <c r="X134" s="53">
        <v>165</v>
      </c>
      <c r="Y134" s="41" t="s">
        <v>152</v>
      </c>
    </row>
    <row r="135" spans="1:45" hidden="1" x14ac:dyDescent="0.3">
      <c r="A135" s="300"/>
      <c r="B135" s="294"/>
      <c r="C135" s="296"/>
      <c r="D135" s="18" t="s">
        <v>467</v>
      </c>
      <c r="E135" s="76">
        <v>9810592000180</v>
      </c>
      <c r="F135" s="12">
        <v>250</v>
      </c>
      <c r="G135" s="8" t="s">
        <v>16</v>
      </c>
      <c r="H135" s="26" t="s">
        <v>27</v>
      </c>
      <c r="I135" s="26" t="s">
        <v>163</v>
      </c>
      <c r="J135" s="26"/>
      <c r="K135" s="67">
        <v>14000</v>
      </c>
      <c r="L135" s="131">
        <f t="shared" si="29"/>
        <v>3640</v>
      </c>
      <c r="M135" s="157">
        <f t="shared" si="30"/>
        <v>0.11714285714285715</v>
      </c>
      <c r="N135" s="131">
        <f t="shared" si="31"/>
        <v>8400</v>
      </c>
      <c r="O135" s="132">
        <f t="shared" si="32"/>
        <v>0.45714285714285713</v>
      </c>
      <c r="P135" s="73">
        <v>2000</v>
      </c>
      <c r="Q135" s="56">
        <f t="shared" si="33"/>
        <v>174</v>
      </c>
      <c r="R135" s="48">
        <f t="shared" si="28"/>
        <v>1826</v>
      </c>
      <c r="S135" s="52">
        <v>1050</v>
      </c>
      <c r="T135" s="52">
        <v>633</v>
      </c>
      <c r="U135" s="52">
        <f t="shared" si="25"/>
        <v>2.532</v>
      </c>
      <c r="V135" s="52">
        <v>0</v>
      </c>
      <c r="W135" s="52">
        <v>0</v>
      </c>
      <c r="X135" s="53">
        <v>143</v>
      </c>
      <c r="Y135" s="41" t="s">
        <v>154</v>
      </c>
    </row>
    <row r="136" spans="1:45" hidden="1" x14ac:dyDescent="0.3">
      <c r="A136" s="300"/>
      <c r="B136" s="294"/>
      <c r="C136" s="296"/>
      <c r="D136" s="18" t="s">
        <v>468</v>
      </c>
      <c r="E136" s="76">
        <v>9810592000179</v>
      </c>
      <c r="F136" s="12">
        <v>250</v>
      </c>
      <c r="G136" s="8" t="s">
        <v>16</v>
      </c>
      <c r="H136" s="26" t="s">
        <v>27</v>
      </c>
      <c r="I136" s="26" t="s">
        <v>163</v>
      </c>
      <c r="J136" s="26"/>
      <c r="K136" s="67">
        <v>14000</v>
      </c>
      <c r="L136" s="131">
        <f t="shared" si="29"/>
        <v>3640</v>
      </c>
      <c r="M136" s="157">
        <f t="shared" si="30"/>
        <v>0.11714285714285715</v>
      </c>
      <c r="N136" s="131">
        <f t="shared" si="31"/>
        <v>8400</v>
      </c>
      <c r="O136" s="132">
        <f t="shared" si="32"/>
        <v>0.45714285714285713</v>
      </c>
      <c r="P136" s="73">
        <v>2000</v>
      </c>
      <c r="Q136" s="56">
        <f t="shared" si="33"/>
        <v>174</v>
      </c>
      <c r="R136" s="48">
        <f t="shared" si="28"/>
        <v>1826</v>
      </c>
      <c r="S136" s="52">
        <v>1050</v>
      </c>
      <c r="T136" s="52">
        <v>633</v>
      </c>
      <c r="U136" s="52">
        <f t="shared" si="25"/>
        <v>2.532</v>
      </c>
      <c r="V136" s="52">
        <v>0</v>
      </c>
      <c r="W136" s="52">
        <v>0</v>
      </c>
      <c r="X136" s="53">
        <v>143</v>
      </c>
      <c r="Y136" s="41" t="s">
        <v>154</v>
      </c>
    </row>
    <row r="137" spans="1:45" x14ac:dyDescent="0.3">
      <c r="A137" s="300"/>
      <c r="B137" s="294"/>
      <c r="C137" s="295" t="s">
        <v>64</v>
      </c>
      <c r="D137" s="7" t="s">
        <v>469</v>
      </c>
      <c r="E137" s="76">
        <v>9810592000208</v>
      </c>
      <c r="F137" s="12">
        <v>480</v>
      </c>
      <c r="G137" s="8" t="s">
        <v>8</v>
      </c>
      <c r="H137" s="26" t="s">
        <v>38</v>
      </c>
      <c r="I137" s="26" t="s">
        <v>31</v>
      </c>
      <c r="J137" s="26"/>
      <c r="K137" s="67">
        <v>17000</v>
      </c>
      <c r="L137" s="131">
        <f t="shared" si="29"/>
        <v>4420</v>
      </c>
      <c r="M137" s="157">
        <f t="shared" si="30"/>
        <v>0.06</v>
      </c>
      <c r="N137" s="131">
        <f t="shared" si="31"/>
        <v>10200</v>
      </c>
      <c r="O137" s="132">
        <f t="shared" si="32"/>
        <v>0.4</v>
      </c>
      <c r="P137" s="73">
        <v>3400</v>
      </c>
      <c r="Q137" s="56">
        <f t="shared" si="33"/>
        <v>300</v>
      </c>
      <c r="R137" s="48">
        <f t="shared" si="28"/>
        <v>3100</v>
      </c>
      <c r="S137" s="52">
        <v>1500</v>
      </c>
      <c r="T137" s="52">
        <v>953</v>
      </c>
      <c r="U137" s="52">
        <f t="shared" si="25"/>
        <v>1.9854166666666666</v>
      </c>
      <c r="V137" s="52">
        <v>449</v>
      </c>
      <c r="W137" s="52">
        <v>0</v>
      </c>
      <c r="X137" s="53">
        <v>198</v>
      </c>
      <c r="Y137" s="41" t="s">
        <v>131</v>
      </c>
      <c r="AC137" s="168">
        <f t="shared" ref="AC137:AC141" si="34">SUM(AD137:AR137)</f>
        <v>3099.8</v>
      </c>
      <c r="AD137" s="169">
        <v>1760</v>
      </c>
      <c r="AE137" s="168">
        <v>583</v>
      </c>
      <c r="AF137" s="170">
        <v>448.8</v>
      </c>
      <c r="AG137" s="168">
        <v>0</v>
      </c>
      <c r="AH137" s="168"/>
      <c r="AI137" s="168"/>
      <c r="AJ137" s="168"/>
      <c r="AK137" s="170"/>
      <c r="AL137" s="170">
        <f>99+99</f>
        <v>198</v>
      </c>
      <c r="AM137" s="168"/>
      <c r="AN137" s="170"/>
      <c r="AO137" s="168"/>
      <c r="AP137" s="168"/>
      <c r="AQ137" s="168">
        <v>0</v>
      </c>
      <c r="AR137" s="171">
        <v>110</v>
      </c>
      <c r="AS137" s="159"/>
    </row>
    <row r="138" spans="1:45" x14ac:dyDescent="0.3">
      <c r="A138" s="300"/>
      <c r="B138" s="294"/>
      <c r="C138" s="295"/>
      <c r="D138" s="7" t="s">
        <v>470</v>
      </c>
      <c r="E138" s="76">
        <v>9810592000210</v>
      </c>
      <c r="F138" s="12">
        <v>75</v>
      </c>
      <c r="G138" s="8" t="s">
        <v>16</v>
      </c>
      <c r="H138" s="26" t="s">
        <v>38</v>
      </c>
      <c r="I138" s="26" t="s">
        <v>35</v>
      </c>
      <c r="J138" s="26" t="s">
        <v>77</v>
      </c>
      <c r="K138" s="67">
        <v>20000</v>
      </c>
      <c r="L138" s="131">
        <f t="shared" si="29"/>
        <v>5200</v>
      </c>
      <c r="M138" s="157">
        <f t="shared" si="30"/>
        <v>8.5000000000000006E-2</v>
      </c>
      <c r="N138" s="131">
        <f t="shared" si="31"/>
        <v>12000</v>
      </c>
      <c r="O138" s="132">
        <f t="shared" si="32"/>
        <v>0.42499999999999999</v>
      </c>
      <c r="P138" s="73">
        <v>3500</v>
      </c>
      <c r="Q138" s="56">
        <f t="shared" si="33"/>
        <v>562</v>
      </c>
      <c r="R138" s="48">
        <f t="shared" si="28"/>
        <v>2938</v>
      </c>
      <c r="S138" s="52">
        <v>820</v>
      </c>
      <c r="T138" s="52">
        <v>588</v>
      </c>
      <c r="U138" s="52">
        <f t="shared" si="25"/>
        <v>7.84</v>
      </c>
      <c r="V138" s="52">
        <v>1045</v>
      </c>
      <c r="W138" s="52">
        <v>385</v>
      </c>
      <c r="X138" s="52">
        <v>100</v>
      </c>
      <c r="Y138" s="41" t="s">
        <v>155</v>
      </c>
      <c r="AC138" s="168">
        <f t="shared" si="34"/>
        <v>2938</v>
      </c>
      <c r="AD138" s="168">
        <v>588</v>
      </c>
      <c r="AE138" s="172">
        <v>820</v>
      </c>
      <c r="AF138" s="168">
        <v>1045</v>
      </c>
      <c r="AG138" s="168"/>
      <c r="AH138" s="168"/>
      <c r="AI138" s="168"/>
      <c r="AJ138" s="168"/>
      <c r="AK138" s="170">
        <v>385</v>
      </c>
      <c r="AL138" s="170"/>
      <c r="AM138" s="168"/>
      <c r="AN138" s="170"/>
      <c r="AO138" s="168"/>
      <c r="AP138" s="168"/>
      <c r="AQ138" s="168">
        <v>0</v>
      </c>
      <c r="AR138" s="171">
        <v>100</v>
      </c>
      <c r="AS138" s="159"/>
    </row>
    <row r="139" spans="1:45" x14ac:dyDescent="0.3">
      <c r="A139" s="300"/>
      <c r="B139" s="294"/>
      <c r="C139" s="295"/>
      <c r="D139" s="7" t="s">
        <v>471</v>
      </c>
      <c r="E139" s="76">
        <v>9810592000212</v>
      </c>
      <c r="F139" s="12">
        <v>500</v>
      </c>
      <c r="G139" s="8" t="s">
        <v>16</v>
      </c>
      <c r="H139" s="26" t="s">
        <v>38</v>
      </c>
      <c r="I139" s="26" t="s">
        <v>30</v>
      </c>
      <c r="J139" s="26"/>
      <c r="K139" s="67">
        <v>19000</v>
      </c>
      <c r="L139" s="131">
        <f t="shared" si="29"/>
        <v>4940</v>
      </c>
      <c r="M139" s="157">
        <f t="shared" si="30"/>
        <v>6.5263157894736842E-2</v>
      </c>
      <c r="N139" s="131">
        <f t="shared" si="31"/>
        <v>11400</v>
      </c>
      <c r="O139" s="132">
        <f t="shared" si="32"/>
        <v>0.40526315789473683</v>
      </c>
      <c r="P139" s="73">
        <v>3700</v>
      </c>
      <c r="Q139" s="56">
        <f t="shared" si="33"/>
        <v>413</v>
      </c>
      <c r="R139" s="48">
        <f t="shared" si="28"/>
        <v>3287</v>
      </c>
      <c r="S139" s="52">
        <v>1500</v>
      </c>
      <c r="T139" s="52">
        <v>973</v>
      </c>
      <c r="U139" s="52">
        <f t="shared" si="25"/>
        <v>1.946</v>
      </c>
      <c r="V139" s="52">
        <v>594</v>
      </c>
      <c r="W139" s="52">
        <v>0</v>
      </c>
      <c r="X139" s="57">
        <v>220</v>
      </c>
      <c r="Y139" s="41" t="s">
        <v>156</v>
      </c>
      <c r="AC139" s="168">
        <f t="shared" si="34"/>
        <v>3287</v>
      </c>
      <c r="AD139" s="168">
        <v>973</v>
      </c>
      <c r="AE139" s="169">
        <v>1500</v>
      </c>
      <c r="AF139" s="168">
        <v>594</v>
      </c>
      <c r="AG139" s="168"/>
      <c r="AH139" s="168"/>
      <c r="AI139" s="168"/>
      <c r="AJ139" s="168"/>
      <c r="AK139" s="170"/>
      <c r="AL139" s="170">
        <v>220</v>
      </c>
      <c r="AM139" s="168"/>
      <c r="AN139" s="170"/>
      <c r="AO139" s="168"/>
      <c r="AP139" s="168"/>
      <c r="AQ139" s="168">
        <v>0</v>
      </c>
      <c r="AR139" s="171"/>
      <c r="AS139" s="159"/>
    </row>
    <row r="140" spans="1:45" x14ac:dyDescent="0.3">
      <c r="A140" s="300"/>
      <c r="B140" s="294" t="s">
        <v>65</v>
      </c>
      <c r="C140" s="295" t="s">
        <v>66</v>
      </c>
      <c r="D140" s="7" t="s">
        <v>472</v>
      </c>
      <c r="E140" s="76">
        <v>9810592000183</v>
      </c>
      <c r="F140" s="16">
        <v>100</v>
      </c>
      <c r="G140" s="8" t="s">
        <v>8</v>
      </c>
      <c r="H140" s="26" t="s">
        <v>27</v>
      </c>
      <c r="I140" s="26" t="s">
        <v>46</v>
      </c>
      <c r="J140" s="26" t="s">
        <v>76</v>
      </c>
      <c r="K140" s="67">
        <v>20000</v>
      </c>
      <c r="L140" s="131">
        <f t="shared" si="29"/>
        <v>5200</v>
      </c>
      <c r="M140" s="157">
        <f t="shared" si="30"/>
        <v>0.04</v>
      </c>
      <c r="N140" s="131">
        <f t="shared" si="31"/>
        <v>12000</v>
      </c>
      <c r="O140" s="132">
        <f t="shared" si="32"/>
        <v>0.38</v>
      </c>
      <c r="P140" s="73">
        <v>4400</v>
      </c>
      <c r="Q140" s="56">
        <f t="shared" si="33"/>
        <v>149</v>
      </c>
      <c r="R140" s="48">
        <f t="shared" si="28"/>
        <v>4251</v>
      </c>
      <c r="S140" s="52">
        <v>2350</v>
      </c>
      <c r="T140" s="52">
        <v>1423</v>
      </c>
      <c r="U140" s="52">
        <f t="shared" si="25"/>
        <v>14.23</v>
      </c>
      <c r="V140" s="52">
        <v>363</v>
      </c>
      <c r="W140" s="52">
        <v>115</v>
      </c>
      <c r="X140" s="52"/>
      <c r="Y140" s="41" t="s">
        <v>142</v>
      </c>
      <c r="AA140" s="40" t="s">
        <v>65</v>
      </c>
      <c r="AB140" s="40">
        <v>2</v>
      </c>
      <c r="AC140" s="168">
        <f t="shared" si="34"/>
        <v>4251</v>
      </c>
      <c r="AD140" s="168">
        <v>1423</v>
      </c>
      <c r="AE140" s="168">
        <v>2350</v>
      </c>
      <c r="AF140" s="168">
        <v>363</v>
      </c>
      <c r="AG140" s="168"/>
      <c r="AH140" s="168"/>
      <c r="AI140" s="168"/>
      <c r="AJ140" s="168"/>
      <c r="AK140" s="170">
        <v>115</v>
      </c>
      <c r="AL140" s="170"/>
      <c r="AM140" s="168"/>
      <c r="AN140" s="170"/>
      <c r="AO140" s="168"/>
      <c r="AP140" s="168"/>
      <c r="AQ140" s="168">
        <f>X140/1.1</f>
        <v>0</v>
      </c>
      <c r="AR140" s="171"/>
      <c r="AS140" s="159"/>
    </row>
    <row r="141" spans="1:45" x14ac:dyDescent="0.3">
      <c r="A141" s="300"/>
      <c r="B141" s="294"/>
      <c r="C141" s="295"/>
      <c r="D141" s="7" t="s">
        <v>473</v>
      </c>
      <c r="E141" s="76">
        <v>9810592000182</v>
      </c>
      <c r="F141" s="16">
        <v>100</v>
      </c>
      <c r="G141" s="8" t="s">
        <v>8</v>
      </c>
      <c r="H141" s="26" t="s">
        <v>27</v>
      </c>
      <c r="I141" s="26" t="s">
        <v>46</v>
      </c>
      <c r="J141" s="26" t="s">
        <v>76</v>
      </c>
      <c r="K141" s="67">
        <v>15000</v>
      </c>
      <c r="L141" s="131">
        <f t="shared" si="29"/>
        <v>3900</v>
      </c>
      <c r="M141" s="157">
        <f t="shared" si="30"/>
        <v>7.3333333333333334E-2</v>
      </c>
      <c r="N141" s="131">
        <f t="shared" si="31"/>
        <v>9000</v>
      </c>
      <c r="O141" s="132">
        <f t="shared" si="32"/>
        <v>0.41333333333333333</v>
      </c>
      <c r="P141" s="73">
        <v>2800</v>
      </c>
      <c r="Q141" s="56">
        <f t="shared" si="33"/>
        <v>122</v>
      </c>
      <c r="R141" s="48">
        <f t="shared" si="28"/>
        <v>2678</v>
      </c>
      <c r="S141" s="52">
        <v>1430</v>
      </c>
      <c r="T141" s="52">
        <v>770</v>
      </c>
      <c r="U141" s="52">
        <f t="shared" si="25"/>
        <v>7.7</v>
      </c>
      <c r="V141" s="52">
        <v>363</v>
      </c>
      <c r="W141" s="52">
        <v>115</v>
      </c>
      <c r="X141" s="52"/>
      <c r="Y141" s="41" t="s">
        <v>142</v>
      </c>
      <c r="AC141" s="168">
        <f t="shared" si="34"/>
        <v>2678</v>
      </c>
      <c r="AD141" s="168">
        <v>770</v>
      </c>
      <c r="AE141" s="168">
        <v>1430</v>
      </c>
      <c r="AF141" s="168">
        <v>363</v>
      </c>
      <c r="AG141" s="168"/>
      <c r="AH141" s="168"/>
      <c r="AI141" s="168"/>
      <c r="AJ141" s="168"/>
      <c r="AK141" s="170">
        <v>115</v>
      </c>
      <c r="AL141" s="170"/>
      <c r="AM141" s="168"/>
      <c r="AN141" s="170"/>
      <c r="AO141" s="168"/>
      <c r="AP141" s="168"/>
      <c r="AQ141" s="168">
        <f>X141/1.1</f>
        <v>0</v>
      </c>
      <c r="AR141" s="171"/>
      <c r="AS141" s="159"/>
    </row>
    <row r="142" spans="1:45" hidden="1" x14ac:dyDescent="0.3">
      <c r="A142" s="300"/>
      <c r="B142" s="294" t="s">
        <v>191</v>
      </c>
      <c r="C142" s="294" t="s">
        <v>192</v>
      </c>
      <c r="D142" s="23" t="s">
        <v>474</v>
      </c>
      <c r="E142" s="151">
        <v>9810592000191</v>
      </c>
      <c r="F142" s="27">
        <v>100</v>
      </c>
      <c r="G142" s="16" t="s">
        <v>179</v>
      </c>
      <c r="H142" s="28" t="s">
        <v>38</v>
      </c>
      <c r="I142" s="28"/>
      <c r="J142" s="28" t="s">
        <v>295</v>
      </c>
      <c r="K142" s="67">
        <v>21000</v>
      </c>
      <c r="L142" s="131">
        <f t="shared" si="29"/>
        <v>5460</v>
      </c>
      <c r="M142" s="157">
        <f t="shared" si="30"/>
        <v>0.18857142857142858</v>
      </c>
      <c r="N142" s="131">
        <f t="shared" si="31"/>
        <v>12600</v>
      </c>
      <c r="O142" s="132">
        <f t="shared" si="32"/>
        <v>0.52857142857142858</v>
      </c>
      <c r="P142" s="73">
        <v>1500</v>
      </c>
      <c r="Q142" s="56">
        <f>P142-R142</f>
        <v>1258</v>
      </c>
      <c r="R142" s="49">
        <f>S142+T142+V142+W142+X142</f>
        <v>242.00000000000003</v>
      </c>
      <c r="S142" s="55"/>
      <c r="T142" s="56"/>
      <c r="U142" s="56"/>
      <c r="V142" s="56"/>
      <c r="W142" s="56">
        <f>220*1.1</f>
        <v>242.00000000000003</v>
      </c>
      <c r="X142" s="56"/>
      <c r="Y142" s="36" t="s">
        <v>184</v>
      </c>
      <c r="AA142" s="40" t="s">
        <v>191</v>
      </c>
      <c r="AB142" s="40">
        <v>2</v>
      </c>
    </row>
    <row r="143" spans="1:45" hidden="1" x14ac:dyDescent="0.3">
      <c r="A143" s="300"/>
      <c r="B143" s="294"/>
      <c r="C143" s="294"/>
      <c r="D143" s="23" t="s">
        <v>475</v>
      </c>
      <c r="E143" s="151">
        <v>9810592000190</v>
      </c>
      <c r="F143" s="27">
        <v>30</v>
      </c>
      <c r="G143" s="16" t="s">
        <v>198</v>
      </c>
      <c r="H143" s="28" t="s">
        <v>38</v>
      </c>
      <c r="I143" s="28"/>
      <c r="J143" s="28" t="s">
        <v>295</v>
      </c>
      <c r="K143" s="67">
        <v>35000</v>
      </c>
      <c r="L143" s="131">
        <f t="shared" si="29"/>
        <v>9100</v>
      </c>
      <c r="M143" s="157">
        <f t="shared" si="30"/>
        <v>0.21714285714285714</v>
      </c>
      <c r="N143" s="131">
        <f t="shared" si="31"/>
        <v>21000</v>
      </c>
      <c r="O143" s="132">
        <f t="shared" si="32"/>
        <v>0.55714285714285716</v>
      </c>
      <c r="P143" s="73">
        <v>1500</v>
      </c>
      <c r="Q143" s="56">
        <f>P143-R143</f>
        <v>1329</v>
      </c>
      <c r="R143" s="49">
        <f>S143+T143+V143+W143+X143</f>
        <v>171</v>
      </c>
      <c r="S143" s="55"/>
      <c r="T143" s="56"/>
      <c r="U143" s="56"/>
      <c r="V143" s="56"/>
      <c r="W143" s="56">
        <v>171</v>
      </c>
      <c r="X143" s="56"/>
      <c r="Y143" s="36" t="s">
        <v>184</v>
      </c>
    </row>
    <row r="144" spans="1:45" ht="10.9" hidden="1" customHeight="1" x14ac:dyDescent="0.3">
      <c r="A144" s="300"/>
      <c r="B144" s="291" t="s">
        <v>87</v>
      </c>
      <c r="C144" s="295" t="s">
        <v>87</v>
      </c>
      <c r="D144" s="7" t="s">
        <v>476</v>
      </c>
      <c r="E144" s="76">
        <v>9810592000107</v>
      </c>
      <c r="F144" s="16">
        <v>50</v>
      </c>
      <c r="G144" s="8" t="s">
        <v>8</v>
      </c>
      <c r="H144" s="26" t="s">
        <v>12</v>
      </c>
      <c r="I144" s="26" t="s">
        <v>28</v>
      </c>
      <c r="J144" s="26" t="s">
        <v>76</v>
      </c>
      <c r="K144" s="67">
        <v>35000</v>
      </c>
      <c r="L144" s="131">
        <f t="shared" si="29"/>
        <v>9100</v>
      </c>
      <c r="M144" s="157">
        <f t="shared" si="30"/>
        <v>0.18857142857142858</v>
      </c>
      <c r="N144" s="131">
        <f t="shared" si="31"/>
        <v>21000</v>
      </c>
      <c r="O144" s="132">
        <f t="shared" si="32"/>
        <v>0.52857142857142858</v>
      </c>
      <c r="P144" s="73">
        <v>2500</v>
      </c>
      <c r="Q144" s="56">
        <f t="shared" si="33"/>
        <v>177.69999999999982</v>
      </c>
      <c r="R144" s="48">
        <f t="shared" si="28"/>
        <v>2322.3000000000002</v>
      </c>
      <c r="S144" s="52">
        <v>600</v>
      </c>
      <c r="T144" s="52">
        <v>410</v>
      </c>
      <c r="U144" s="52">
        <f>T144/F144</f>
        <v>8.1999999999999993</v>
      </c>
      <c r="V144" s="52">
        <v>528</v>
      </c>
      <c r="W144" s="52">
        <v>638</v>
      </c>
      <c r="X144" s="53">
        <f>133*1.1</f>
        <v>146.30000000000001</v>
      </c>
      <c r="Y144" s="42" t="s">
        <v>177</v>
      </c>
      <c r="AA144" s="40" t="s">
        <v>87</v>
      </c>
      <c r="AB144" s="40">
        <v>4</v>
      </c>
    </row>
    <row r="145" spans="1:45" hidden="1" x14ac:dyDescent="0.3">
      <c r="A145" s="300"/>
      <c r="B145" s="291"/>
      <c r="C145" s="295"/>
      <c r="D145" s="7" t="s">
        <v>477</v>
      </c>
      <c r="E145" s="76">
        <v>9810592000124</v>
      </c>
      <c r="F145" s="12">
        <v>70</v>
      </c>
      <c r="G145" s="8" t="s">
        <v>8</v>
      </c>
      <c r="H145" s="26" t="s">
        <v>27</v>
      </c>
      <c r="I145" s="26" t="s">
        <v>32</v>
      </c>
      <c r="J145" s="26" t="s">
        <v>76</v>
      </c>
      <c r="K145" s="67">
        <v>20000</v>
      </c>
      <c r="L145" s="131">
        <f t="shared" si="29"/>
        <v>5200</v>
      </c>
      <c r="M145" s="157">
        <f t="shared" si="30"/>
        <v>0.13</v>
      </c>
      <c r="N145" s="131">
        <f t="shared" si="31"/>
        <v>12000</v>
      </c>
      <c r="O145" s="132">
        <f t="shared" si="32"/>
        <v>0.47</v>
      </c>
      <c r="P145" s="73">
        <v>2600</v>
      </c>
      <c r="Q145" s="56">
        <f t="shared" si="33"/>
        <v>165</v>
      </c>
      <c r="R145" s="48">
        <f t="shared" si="28"/>
        <v>2435</v>
      </c>
      <c r="S145" s="52">
        <v>840</v>
      </c>
      <c r="T145" s="52">
        <v>480</v>
      </c>
      <c r="U145" s="52">
        <f>T145/F145</f>
        <v>6.8571428571428568</v>
      </c>
      <c r="V145" s="52">
        <v>787</v>
      </c>
      <c r="W145" s="52">
        <v>218</v>
      </c>
      <c r="X145" s="53">
        <v>110</v>
      </c>
      <c r="Y145" s="43" t="s">
        <v>159</v>
      </c>
    </row>
    <row r="146" spans="1:45" hidden="1" x14ac:dyDescent="0.3">
      <c r="A146" s="300"/>
      <c r="B146" s="291"/>
      <c r="C146" s="295"/>
      <c r="D146" s="7" t="s">
        <v>478</v>
      </c>
      <c r="E146" s="76">
        <v>9810592000123</v>
      </c>
      <c r="F146" s="16">
        <v>50</v>
      </c>
      <c r="G146" s="8" t="s">
        <v>8</v>
      </c>
      <c r="H146" s="26" t="s">
        <v>27</v>
      </c>
      <c r="I146" s="26" t="s">
        <v>33</v>
      </c>
      <c r="J146" s="26" t="s">
        <v>77</v>
      </c>
      <c r="K146" s="67">
        <v>20000</v>
      </c>
      <c r="L146" s="131">
        <f t="shared" si="29"/>
        <v>5200</v>
      </c>
      <c r="M146" s="157">
        <f t="shared" si="30"/>
        <v>9.5000000000000001E-2</v>
      </c>
      <c r="N146" s="131">
        <f t="shared" si="31"/>
        <v>12000</v>
      </c>
      <c r="O146" s="132">
        <f t="shared" si="32"/>
        <v>0.435</v>
      </c>
      <c r="P146" s="73">
        <v>3300</v>
      </c>
      <c r="Q146" s="56">
        <f t="shared" si="33"/>
        <v>164</v>
      </c>
      <c r="R146" s="48">
        <f t="shared" si="28"/>
        <v>3136</v>
      </c>
      <c r="S146" s="52">
        <v>740</v>
      </c>
      <c r="T146" s="52">
        <v>470</v>
      </c>
      <c r="U146" s="52">
        <f>T146/F146</f>
        <v>9.4</v>
      </c>
      <c r="V146" s="52">
        <v>1403</v>
      </c>
      <c r="W146" s="52">
        <f>396+127</f>
        <v>523</v>
      </c>
      <c r="X146" s="52"/>
      <c r="Y146" s="41" t="s">
        <v>142</v>
      </c>
    </row>
    <row r="147" spans="1:45" x14ac:dyDescent="0.3">
      <c r="A147" s="300"/>
      <c r="B147" s="291"/>
      <c r="C147" s="295"/>
      <c r="D147" s="7" t="s">
        <v>479</v>
      </c>
      <c r="E147" s="76">
        <v>9810592000122</v>
      </c>
      <c r="F147" s="12">
        <v>50</v>
      </c>
      <c r="G147" s="8" t="s">
        <v>8</v>
      </c>
      <c r="H147" s="26" t="s">
        <v>12</v>
      </c>
      <c r="I147" s="26" t="s">
        <v>33</v>
      </c>
      <c r="J147" s="26" t="s">
        <v>78</v>
      </c>
      <c r="K147" s="67">
        <v>20000</v>
      </c>
      <c r="L147" s="131">
        <f t="shared" si="29"/>
        <v>5200</v>
      </c>
      <c r="M147" s="157">
        <f t="shared" si="30"/>
        <v>8.5000000000000006E-2</v>
      </c>
      <c r="N147" s="131">
        <f t="shared" si="31"/>
        <v>12000</v>
      </c>
      <c r="O147" s="132">
        <f t="shared" si="32"/>
        <v>0.42499999999999999</v>
      </c>
      <c r="P147" s="73">
        <v>3500</v>
      </c>
      <c r="Q147" s="56">
        <f t="shared" si="33"/>
        <v>484</v>
      </c>
      <c r="R147" s="48">
        <f t="shared" si="28"/>
        <v>3016</v>
      </c>
      <c r="S147" s="52">
        <v>300</v>
      </c>
      <c r="T147" s="52">
        <v>840</v>
      </c>
      <c r="U147" s="52">
        <f>T147/F147</f>
        <v>16.8</v>
      </c>
      <c r="V147" s="52">
        <v>1436</v>
      </c>
      <c r="W147" s="52">
        <v>440</v>
      </c>
      <c r="X147" s="52"/>
      <c r="Y147" s="43" t="s">
        <v>157</v>
      </c>
      <c r="AC147" s="168">
        <f t="shared" ref="AC147:AC153" si="35">SUM(AD147:AR147)</f>
        <v>3016</v>
      </c>
      <c r="AD147" s="169">
        <v>840</v>
      </c>
      <c r="AE147" s="168">
        <v>300</v>
      </c>
      <c r="AF147" s="168">
        <v>1436</v>
      </c>
      <c r="AG147" s="168">
        <v>0</v>
      </c>
      <c r="AH147" s="168"/>
      <c r="AI147" s="168"/>
      <c r="AJ147" s="168"/>
      <c r="AK147" s="176">
        <v>440</v>
      </c>
      <c r="AL147" s="170"/>
      <c r="AM147" s="168"/>
      <c r="AN147" s="170"/>
      <c r="AO147" s="168"/>
      <c r="AP147" s="168"/>
      <c r="AQ147" s="168">
        <f>X147/1.1</f>
        <v>0</v>
      </c>
      <c r="AR147" s="171"/>
      <c r="AS147" s="159"/>
    </row>
    <row r="148" spans="1:45" ht="10.9" customHeight="1" x14ac:dyDescent="0.3">
      <c r="A148" s="291" t="s">
        <v>188</v>
      </c>
      <c r="B148" s="291" t="s">
        <v>90</v>
      </c>
      <c r="C148" s="296" t="s">
        <v>67</v>
      </c>
      <c r="D148" s="19" t="s">
        <v>480</v>
      </c>
      <c r="E148" s="150">
        <v>9810592000402</v>
      </c>
      <c r="F148" s="12">
        <v>60</v>
      </c>
      <c r="G148" s="8" t="s">
        <v>199</v>
      </c>
      <c r="H148" s="26" t="s">
        <v>69</v>
      </c>
      <c r="I148" s="46" t="s">
        <v>160</v>
      </c>
      <c r="J148" s="46" t="s">
        <v>79</v>
      </c>
      <c r="K148" s="67">
        <v>20000</v>
      </c>
      <c r="L148" s="131">
        <f t="shared" si="29"/>
        <v>5200</v>
      </c>
      <c r="M148" s="157">
        <f t="shared" si="30"/>
        <v>7.0000000000000007E-2</v>
      </c>
      <c r="N148" s="131">
        <f t="shared" si="31"/>
        <v>12000</v>
      </c>
      <c r="O148" s="132">
        <f t="shared" si="32"/>
        <v>0.41</v>
      </c>
      <c r="P148" s="73">
        <v>3800</v>
      </c>
      <c r="Q148" s="56">
        <f t="shared" si="33"/>
        <v>220</v>
      </c>
      <c r="R148" s="112">
        <f t="shared" si="28"/>
        <v>3580</v>
      </c>
      <c r="S148" s="57">
        <v>693</v>
      </c>
      <c r="T148" s="57">
        <v>1716.0000000000002</v>
      </c>
      <c r="U148" s="52">
        <f t="shared" ref="U148:U157" si="36">T148/F148</f>
        <v>28.600000000000005</v>
      </c>
      <c r="V148" s="58">
        <f>750*1.1+50*1.1+10*1.1</f>
        <v>891.00000000000011</v>
      </c>
      <c r="W148" s="58">
        <v>200</v>
      </c>
      <c r="X148" s="58">
        <v>80</v>
      </c>
      <c r="Y148" s="41" t="s">
        <v>168</v>
      </c>
      <c r="Z148" s="40" t="s">
        <v>272</v>
      </c>
      <c r="AA148" s="40" t="s">
        <v>188</v>
      </c>
      <c r="AB148" s="40">
        <v>11</v>
      </c>
      <c r="AC148" s="168">
        <f t="shared" si="35"/>
        <v>3610</v>
      </c>
      <c r="AD148" s="168">
        <v>1716</v>
      </c>
      <c r="AE148" s="168">
        <v>330</v>
      </c>
      <c r="AF148" s="173">
        <f>(750+50)*1.1</f>
        <v>880.00000000000011</v>
      </c>
      <c r="AG148" s="168"/>
      <c r="AH148" s="168"/>
      <c r="AI148" s="168"/>
      <c r="AJ148" s="168"/>
      <c r="AK148" s="176">
        <v>200</v>
      </c>
      <c r="AL148" s="170"/>
      <c r="AM148" s="169">
        <v>80</v>
      </c>
      <c r="AN148" s="170"/>
      <c r="AO148" s="168"/>
      <c r="AP148" s="168"/>
      <c r="AQ148" s="168">
        <v>0</v>
      </c>
      <c r="AR148" s="171">
        <f>44+360</f>
        <v>404</v>
      </c>
      <c r="AS148" s="159"/>
    </row>
    <row r="149" spans="1:45" x14ac:dyDescent="0.3">
      <c r="A149" s="291"/>
      <c r="B149" s="291"/>
      <c r="C149" s="296"/>
      <c r="D149" s="25" t="s">
        <v>481</v>
      </c>
      <c r="E149" s="76">
        <v>9810592000257</v>
      </c>
      <c r="F149" s="12">
        <v>90</v>
      </c>
      <c r="G149" s="8" t="s">
        <v>72</v>
      </c>
      <c r="H149" s="26" t="s">
        <v>68</v>
      </c>
      <c r="I149" s="26" t="s">
        <v>160</v>
      </c>
      <c r="J149" s="26" t="s">
        <v>76</v>
      </c>
      <c r="K149" s="67">
        <v>20000</v>
      </c>
      <c r="L149" s="131">
        <f t="shared" si="29"/>
        <v>5200</v>
      </c>
      <c r="M149" s="157">
        <f t="shared" si="30"/>
        <v>0.06</v>
      </c>
      <c r="N149" s="131">
        <f t="shared" si="31"/>
        <v>12000</v>
      </c>
      <c r="O149" s="132">
        <f t="shared" si="32"/>
        <v>0.4</v>
      </c>
      <c r="P149" s="73">
        <v>4000</v>
      </c>
      <c r="Q149" s="56">
        <f t="shared" si="33"/>
        <v>480</v>
      </c>
      <c r="R149" s="112">
        <f t="shared" si="28"/>
        <v>3520</v>
      </c>
      <c r="S149" s="57">
        <v>693</v>
      </c>
      <c r="T149" s="57">
        <v>1716.0000000000002</v>
      </c>
      <c r="U149" s="52">
        <f t="shared" si="36"/>
        <v>19.06666666666667</v>
      </c>
      <c r="V149" s="57">
        <v>891.00000000000011</v>
      </c>
      <c r="W149" s="52">
        <v>154</v>
      </c>
      <c r="X149" s="53">
        <v>66</v>
      </c>
      <c r="Y149" s="41" t="s">
        <v>142</v>
      </c>
      <c r="Z149" s="40" t="s">
        <v>272</v>
      </c>
      <c r="AC149" s="168">
        <f t="shared" si="35"/>
        <v>3550</v>
      </c>
      <c r="AD149" s="168">
        <v>1716</v>
      </c>
      <c r="AE149" s="168">
        <v>330</v>
      </c>
      <c r="AF149" s="173">
        <f t="shared" ref="AF149:AF151" si="37">(750+50)*1.1</f>
        <v>880.00000000000011</v>
      </c>
      <c r="AG149" s="168"/>
      <c r="AH149" s="168"/>
      <c r="AI149" s="168"/>
      <c r="AJ149" s="168"/>
      <c r="AK149" s="176">
        <v>154</v>
      </c>
      <c r="AL149" s="170"/>
      <c r="AM149" s="169">
        <v>66</v>
      </c>
      <c r="AN149" s="170"/>
      <c r="AO149" s="168"/>
      <c r="AP149" s="168"/>
      <c r="AQ149" s="168">
        <v>0</v>
      </c>
      <c r="AR149" s="171">
        <f t="shared" ref="AR149:AR151" si="38">44+360</f>
        <v>404</v>
      </c>
      <c r="AS149" s="159"/>
    </row>
    <row r="150" spans="1:45" x14ac:dyDescent="0.3">
      <c r="A150" s="291"/>
      <c r="B150" s="291"/>
      <c r="C150" s="296"/>
      <c r="D150" s="25" t="s">
        <v>482</v>
      </c>
      <c r="E150" s="76">
        <v>9810592000356</v>
      </c>
      <c r="F150" s="16">
        <v>60</v>
      </c>
      <c r="G150" s="8" t="s">
        <v>72</v>
      </c>
      <c r="H150" s="26" t="s">
        <v>69</v>
      </c>
      <c r="I150" s="26" t="s">
        <v>160</v>
      </c>
      <c r="J150" s="26" t="s">
        <v>76</v>
      </c>
      <c r="K150" s="67">
        <v>20000</v>
      </c>
      <c r="L150" s="131">
        <f t="shared" si="29"/>
        <v>5200</v>
      </c>
      <c r="M150" s="157">
        <f t="shared" si="30"/>
        <v>7.0000000000000007E-2</v>
      </c>
      <c r="N150" s="131">
        <f t="shared" si="31"/>
        <v>12000</v>
      </c>
      <c r="O150" s="132">
        <f t="shared" si="32"/>
        <v>0.41</v>
      </c>
      <c r="P150" s="73">
        <v>3800</v>
      </c>
      <c r="Q150" s="56">
        <f t="shared" si="33"/>
        <v>212</v>
      </c>
      <c r="R150" s="112">
        <f t="shared" si="28"/>
        <v>3588</v>
      </c>
      <c r="S150" s="57">
        <v>693</v>
      </c>
      <c r="T150" s="57">
        <v>1716.0000000000002</v>
      </c>
      <c r="U150" s="52">
        <f t="shared" si="36"/>
        <v>28.600000000000005</v>
      </c>
      <c r="V150" s="57">
        <v>891.00000000000011</v>
      </c>
      <c r="W150" s="52">
        <v>222</v>
      </c>
      <c r="X150" s="53">
        <v>66</v>
      </c>
      <c r="Y150" s="41" t="s">
        <v>142</v>
      </c>
      <c r="Z150" s="40" t="s">
        <v>272</v>
      </c>
      <c r="AC150" s="168">
        <f t="shared" si="35"/>
        <v>3618.2</v>
      </c>
      <c r="AD150" s="168">
        <v>1716</v>
      </c>
      <c r="AE150" s="168">
        <v>330</v>
      </c>
      <c r="AF150" s="173">
        <f t="shared" si="37"/>
        <v>880.00000000000011</v>
      </c>
      <c r="AG150" s="168"/>
      <c r="AH150" s="168"/>
      <c r="AI150" s="168"/>
      <c r="AJ150" s="168"/>
      <c r="AK150" s="176">
        <v>222.2</v>
      </c>
      <c r="AL150" s="170"/>
      <c r="AM150" s="169">
        <v>66</v>
      </c>
      <c r="AN150" s="170"/>
      <c r="AO150" s="168"/>
      <c r="AP150" s="168"/>
      <c r="AQ150" s="168">
        <v>0</v>
      </c>
      <c r="AR150" s="171">
        <f t="shared" si="38"/>
        <v>404</v>
      </c>
      <c r="AS150" s="159"/>
    </row>
    <row r="151" spans="1:45" x14ac:dyDescent="0.3">
      <c r="A151" s="291"/>
      <c r="B151" s="291"/>
      <c r="C151" s="296"/>
      <c r="D151" s="25" t="s">
        <v>483</v>
      </c>
      <c r="E151" s="76">
        <v>9810592000308</v>
      </c>
      <c r="F151" s="16">
        <v>60</v>
      </c>
      <c r="G151" s="8" t="s">
        <v>72</v>
      </c>
      <c r="H151" s="26" t="s">
        <v>68</v>
      </c>
      <c r="I151" s="26" t="s">
        <v>160</v>
      </c>
      <c r="J151" s="26" t="s">
        <v>76</v>
      </c>
      <c r="K151" s="67">
        <v>20000</v>
      </c>
      <c r="L151" s="131">
        <f t="shared" si="29"/>
        <v>5200</v>
      </c>
      <c r="M151" s="157">
        <f t="shared" si="30"/>
        <v>7.4999999999999997E-2</v>
      </c>
      <c r="N151" s="131">
        <f t="shared" si="31"/>
        <v>12000</v>
      </c>
      <c r="O151" s="132">
        <f t="shared" si="32"/>
        <v>0.41499999999999998</v>
      </c>
      <c r="P151" s="73">
        <v>3700</v>
      </c>
      <c r="Q151" s="56">
        <f t="shared" si="33"/>
        <v>228.40000000000009</v>
      </c>
      <c r="R151" s="112">
        <f t="shared" si="28"/>
        <v>3471.6</v>
      </c>
      <c r="S151" s="57">
        <v>693</v>
      </c>
      <c r="T151" s="57">
        <v>1716.0000000000002</v>
      </c>
      <c r="U151" s="52">
        <f t="shared" si="36"/>
        <v>28.600000000000005</v>
      </c>
      <c r="V151" s="57">
        <v>891.00000000000011</v>
      </c>
      <c r="W151" s="52">
        <f>156*1.1</f>
        <v>171.60000000000002</v>
      </c>
      <c r="X151" s="52"/>
      <c r="Y151" s="41" t="s">
        <v>142</v>
      </c>
      <c r="Z151" s="40" t="s">
        <v>272</v>
      </c>
      <c r="AC151" s="168">
        <f t="shared" si="35"/>
        <v>3501</v>
      </c>
      <c r="AD151" s="168">
        <v>1716</v>
      </c>
      <c r="AE151" s="168">
        <v>330</v>
      </c>
      <c r="AF151" s="173">
        <f t="shared" si="37"/>
        <v>880.00000000000011</v>
      </c>
      <c r="AG151" s="168"/>
      <c r="AH151" s="168"/>
      <c r="AI151" s="168"/>
      <c r="AJ151" s="168"/>
      <c r="AK151" s="176">
        <v>171</v>
      </c>
      <c r="AL151" s="170"/>
      <c r="AM151" s="168"/>
      <c r="AN151" s="170"/>
      <c r="AO151" s="168"/>
      <c r="AP151" s="168"/>
      <c r="AQ151" s="168">
        <f>X151/1.1</f>
        <v>0</v>
      </c>
      <c r="AR151" s="171">
        <f t="shared" si="38"/>
        <v>404</v>
      </c>
      <c r="AS151" s="159"/>
    </row>
    <row r="152" spans="1:45" x14ac:dyDescent="0.3">
      <c r="A152" s="291"/>
      <c r="B152" s="291"/>
      <c r="C152" s="297" t="s">
        <v>207</v>
      </c>
      <c r="D152" s="18" t="s">
        <v>484</v>
      </c>
      <c r="E152" s="76">
        <v>9810592000382</v>
      </c>
      <c r="F152" s="16">
        <v>10</v>
      </c>
      <c r="G152" s="8" t="s">
        <v>72</v>
      </c>
      <c r="H152" s="26" t="s">
        <v>12</v>
      </c>
      <c r="I152" s="26"/>
      <c r="J152" s="26" t="s">
        <v>78</v>
      </c>
      <c r="K152" s="67">
        <v>10000</v>
      </c>
      <c r="L152" s="131">
        <f t="shared" si="29"/>
        <v>2600</v>
      </c>
      <c r="M152" s="157">
        <f t="shared" si="30"/>
        <v>0.08</v>
      </c>
      <c r="N152" s="131">
        <f t="shared" si="31"/>
        <v>6000</v>
      </c>
      <c r="O152" s="132">
        <f t="shared" si="32"/>
        <v>0.42</v>
      </c>
      <c r="P152" s="73">
        <v>1800</v>
      </c>
      <c r="Q152" s="56">
        <f t="shared" si="33"/>
        <v>165</v>
      </c>
      <c r="R152" s="48">
        <f t="shared" si="28"/>
        <v>1635</v>
      </c>
      <c r="S152" s="52"/>
      <c r="T152" s="52">
        <v>1360</v>
      </c>
      <c r="U152" s="52">
        <f t="shared" si="36"/>
        <v>136</v>
      </c>
      <c r="V152" s="52">
        <v>0</v>
      </c>
      <c r="W152" s="52">
        <v>275</v>
      </c>
      <c r="X152" s="52"/>
      <c r="Y152" s="42"/>
      <c r="AC152" s="168">
        <f t="shared" si="35"/>
        <v>1635</v>
      </c>
      <c r="AD152" s="173">
        <v>1360</v>
      </c>
      <c r="AE152" s="168"/>
      <c r="AF152" s="173"/>
      <c r="AG152" s="168"/>
      <c r="AH152" s="168"/>
      <c r="AI152" s="168"/>
      <c r="AJ152" s="168"/>
      <c r="AK152" s="170">
        <v>275</v>
      </c>
      <c r="AL152" s="170"/>
      <c r="AM152" s="168"/>
      <c r="AN152" s="170"/>
      <c r="AO152" s="168"/>
      <c r="AP152" s="168"/>
      <c r="AQ152" s="168">
        <f>X152/1.1</f>
        <v>0</v>
      </c>
      <c r="AR152" s="171"/>
      <c r="AS152" s="159"/>
    </row>
    <row r="153" spans="1:45" x14ac:dyDescent="0.3">
      <c r="A153" s="291"/>
      <c r="B153" s="291"/>
      <c r="C153" s="298"/>
      <c r="D153" s="18" t="s">
        <v>485</v>
      </c>
      <c r="E153" s="76">
        <v>9810592000383</v>
      </c>
      <c r="F153" s="16">
        <v>10</v>
      </c>
      <c r="G153" s="8" t="s">
        <v>72</v>
      </c>
      <c r="H153" s="26" t="s">
        <v>12</v>
      </c>
      <c r="I153" s="26"/>
      <c r="J153" s="26" t="s">
        <v>78</v>
      </c>
      <c r="K153" s="67">
        <v>10000</v>
      </c>
      <c r="L153" s="131">
        <f t="shared" si="29"/>
        <v>2600</v>
      </c>
      <c r="M153" s="157">
        <f t="shared" si="30"/>
        <v>0.08</v>
      </c>
      <c r="N153" s="131">
        <f t="shared" si="31"/>
        <v>6000</v>
      </c>
      <c r="O153" s="132">
        <f t="shared" si="32"/>
        <v>0.42</v>
      </c>
      <c r="P153" s="73">
        <v>1800</v>
      </c>
      <c r="Q153" s="56">
        <f t="shared" si="33"/>
        <v>165</v>
      </c>
      <c r="R153" s="48">
        <f t="shared" si="28"/>
        <v>1635</v>
      </c>
      <c r="S153" s="52"/>
      <c r="T153" s="52">
        <v>1360</v>
      </c>
      <c r="U153" s="52">
        <f t="shared" si="36"/>
        <v>136</v>
      </c>
      <c r="V153" s="52">
        <v>0</v>
      </c>
      <c r="W153" s="52">
        <v>275</v>
      </c>
      <c r="X153" s="52"/>
      <c r="Y153" s="43" t="s">
        <v>158</v>
      </c>
      <c r="AC153" s="168">
        <f t="shared" si="35"/>
        <v>1635</v>
      </c>
      <c r="AD153" s="173">
        <v>1360</v>
      </c>
      <c r="AE153" s="168"/>
      <c r="AF153" s="173"/>
      <c r="AG153" s="168"/>
      <c r="AH153" s="168"/>
      <c r="AI153" s="168"/>
      <c r="AJ153" s="168"/>
      <c r="AK153" s="170">
        <v>275</v>
      </c>
      <c r="AL153" s="170"/>
      <c r="AM153" s="168"/>
      <c r="AN153" s="170"/>
      <c r="AO153" s="168"/>
      <c r="AP153" s="168"/>
      <c r="AQ153" s="168">
        <f>X153/1.1</f>
        <v>0</v>
      </c>
      <c r="AR153" s="171"/>
      <c r="AS153" s="159"/>
    </row>
    <row r="154" spans="1:45" hidden="1" x14ac:dyDescent="0.3">
      <c r="A154" s="291"/>
      <c r="B154" s="291"/>
      <c r="C154" s="296" t="s">
        <v>86</v>
      </c>
      <c r="D154" s="18" t="s">
        <v>486</v>
      </c>
      <c r="E154" s="76">
        <v>9810592000227</v>
      </c>
      <c r="F154" s="12">
        <v>10</v>
      </c>
      <c r="G154" s="8" t="s">
        <v>72</v>
      </c>
      <c r="H154" s="26" t="s">
        <v>164</v>
      </c>
      <c r="I154" s="26"/>
      <c r="J154" s="26" t="s">
        <v>78</v>
      </c>
      <c r="K154" s="67">
        <v>15000</v>
      </c>
      <c r="L154" s="131">
        <f t="shared" si="29"/>
        <v>3900</v>
      </c>
      <c r="M154" s="157">
        <f t="shared" si="30"/>
        <v>0.12666666666666668</v>
      </c>
      <c r="N154" s="131">
        <f t="shared" si="31"/>
        <v>9000</v>
      </c>
      <c r="O154" s="132">
        <f t="shared" si="32"/>
        <v>0.46666666666666667</v>
      </c>
      <c r="P154" s="73">
        <v>2000</v>
      </c>
      <c r="Q154" s="56">
        <f t="shared" si="33"/>
        <v>130</v>
      </c>
      <c r="R154" s="48">
        <f t="shared" si="28"/>
        <v>1870</v>
      </c>
      <c r="S154" s="52"/>
      <c r="T154" s="52">
        <v>1540</v>
      </c>
      <c r="U154" s="52">
        <f t="shared" si="36"/>
        <v>154</v>
      </c>
      <c r="V154" s="52">
        <v>0</v>
      </c>
      <c r="W154" s="52">
        <v>330</v>
      </c>
      <c r="X154" s="52"/>
      <c r="Y154" s="42" t="s">
        <v>177</v>
      </c>
    </row>
    <row r="155" spans="1:45" hidden="1" x14ac:dyDescent="0.3">
      <c r="A155" s="291"/>
      <c r="B155" s="291"/>
      <c r="C155" s="296"/>
      <c r="D155" s="18" t="s">
        <v>487</v>
      </c>
      <c r="E155" s="76">
        <v>9810592000225</v>
      </c>
      <c r="F155" s="12">
        <v>10</v>
      </c>
      <c r="G155" s="8" t="s">
        <v>72</v>
      </c>
      <c r="H155" s="26" t="s">
        <v>164</v>
      </c>
      <c r="I155" s="26"/>
      <c r="J155" s="26" t="s">
        <v>78</v>
      </c>
      <c r="K155" s="67">
        <v>15000</v>
      </c>
      <c r="L155" s="131">
        <f t="shared" si="29"/>
        <v>3900</v>
      </c>
      <c r="M155" s="157">
        <f t="shared" si="30"/>
        <v>0.12666666666666668</v>
      </c>
      <c r="N155" s="131">
        <f t="shared" si="31"/>
        <v>9000</v>
      </c>
      <c r="O155" s="132">
        <f t="shared" si="32"/>
        <v>0.46666666666666667</v>
      </c>
      <c r="P155" s="73">
        <v>2000</v>
      </c>
      <c r="Q155" s="56">
        <f t="shared" si="33"/>
        <v>130</v>
      </c>
      <c r="R155" s="48">
        <f t="shared" si="28"/>
        <v>1870</v>
      </c>
      <c r="S155" s="52"/>
      <c r="T155" s="52">
        <v>1540</v>
      </c>
      <c r="U155" s="52">
        <f t="shared" si="36"/>
        <v>154</v>
      </c>
      <c r="V155" s="52">
        <v>0</v>
      </c>
      <c r="W155" s="52">
        <v>330</v>
      </c>
      <c r="X155" s="52"/>
      <c r="Y155" s="42" t="s">
        <v>177</v>
      </c>
    </row>
    <row r="156" spans="1:45" hidden="1" x14ac:dyDescent="0.3">
      <c r="A156" s="291"/>
      <c r="B156" s="291"/>
      <c r="C156" s="296"/>
      <c r="D156" s="18" t="s">
        <v>488</v>
      </c>
      <c r="E156" s="76">
        <v>9810592000219</v>
      </c>
      <c r="F156" s="12">
        <v>10</v>
      </c>
      <c r="G156" s="8" t="s">
        <v>72</v>
      </c>
      <c r="H156" s="26" t="s">
        <v>164</v>
      </c>
      <c r="I156" s="26"/>
      <c r="J156" s="26" t="s">
        <v>78</v>
      </c>
      <c r="K156" s="67">
        <v>15000</v>
      </c>
      <c r="L156" s="131">
        <f t="shared" si="29"/>
        <v>3900</v>
      </c>
      <c r="M156" s="157">
        <f t="shared" si="30"/>
        <v>0.12666666666666668</v>
      </c>
      <c r="N156" s="131">
        <f t="shared" si="31"/>
        <v>9000</v>
      </c>
      <c r="O156" s="132">
        <f t="shared" si="32"/>
        <v>0.46666666666666667</v>
      </c>
      <c r="P156" s="73">
        <v>2000</v>
      </c>
      <c r="Q156" s="56">
        <f t="shared" si="33"/>
        <v>130</v>
      </c>
      <c r="R156" s="48">
        <f t="shared" si="28"/>
        <v>1870</v>
      </c>
      <c r="S156" s="52"/>
      <c r="T156" s="52">
        <v>1540</v>
      </c>
      <c r="U156" s="52">
        <f t="shared" si="36"/>
        <v>154</v>
      </c>
      <c r="V156" s="52">
        <v>0</v>
      </c>
      <c r="W156" s="52">
        <v>330</v>
      </c>
      <c r="X156" s="52"/>
      <c r="Y156" s="42" t="s">
        <v>177</v>
      </c>
    </row>
    <row r="157" spans="1:45" x14ac:dyDescent="0.3">
      <c r="A157" s="291"/>
      <c r="B157" s="291"/>
      <c r="C157" s="152" t="s">
        <v>89</v>
      </c>
      <c r="D157" s="18" t="s">
        <v>489</v>
      </c>
      <c r="E157" s="76">
        <v>9810592000196</v>
      </c>
      <c r="F157" s="16">
        <v>5</v>
      </c>
      <c r="G157" s="8" t="s">
        <v>82</v>
      </c>
      <c r="H157" s="26" t="s">
        <v>10</v>
      </c>
      <c r="I157" s="26" t="s">
        <v>37</v>
      </c>
      <c r="J157" s="47" t="s">
        <v>76</v>
      </c>
      <c r="K157" s="67">
        <v>15000</v>
      </c>
      <c r="L157" s="131">
        <f t="shared" si="29"/>
        <v>3900</v>
      </c>
      <c r="M157" s="157">
        <f t="shared" si="30"/>
        <v>7.3333333333333334E-2</v>
      </c>
      <c r="N157" s="131">
        <f t="shared" si="31"/>
        <v>9000</v>
      </c>
      <c r="O157" s="132">
        <f t="shared" si="32"/>
        <v>0.41333333333333333</v>
      </c>
      <c r="P157" s="73">
        <v>2800</v>
      </c>
      <c r="Q157" s="56">
        <f t="shared" si="33"/>
        <v>140</v>
      </c>
      <c r="R157" s="112">
        <f t="shared" si="28"/>
        <v>2660</v>
      </c>
      <c r="S157" s="52"/>
      <c r="T157" s="57">
        <f>500*5</f>
        <v>2500</v>
      </c>
      <c r="U157" s="52">
        <f t="shared" si="36"/>
        <v>500</v>
      </c>
      <c r="V157" s="52">
        <v>0</v>
      </c>
      <c r="W157" s="52">
        <v>160</v>
      </c>
      <c r="X157" s="52"/>
      <c r="Y157" s="41" t="s">
        <v>132</v>
      </c>
      <c r="Z157" s="40" t="s">
        <v>270</v>
      </c>
      <c r="AC157" s="168">
        <f>SUM(AD157:AR157)</f>
        <v>2660</v>
      </c>
      <c r="AD157" s="173">
        <v>2500</v>
      </c>
      <c r="AE157" s="168"/>
      <c r="AF157" s="173">
        <v>0</v>
      </c>
      <c r="AG157" s="168">
        <v>0</v>
      </c>
      <c r="AH157" s="168"/>
      <c r="AI157" s="168"/>
      <c r="AJ157" s="168"/>
      <c r="AK157" s="170">
        <v>160</v>
      </c>
      <c r="AL157" s="170"/>
      <c r="AM157" s="168"/>
      <c r="AN157" s="170"/>
      <c r="AO157" s="168"/>
      <c r="AP157" s="168"/>
      <c r="AQ157" s="168">
        <f>X157/1.1</f>
        <v>0</v>
      </c>
      <c r="AR157" s="171"/>
      <c r="AS157" s="159"/>
    </row>
    <row r="158" spans="1:45" hidden="1" x14ac:dyDescent="0.3">
      <c r="A158" s="291"/>
      <c r="B158" s="291"/>
      <c r="C158" s="154" t="s">
        <v>193</v>
      </c>
      <c r="D158" s="117" t="s">
        <v>490</v>
      </c>
      <c r="E158" s="151">
        <v>9810592000222</v>
      </c>
      <c r="F158" s="27">
        <v>150</v>
      </c>
      <c r="G158" s="16" t="s">
        <v>179</v>
      </c>
      <c r="H158" s="28"/>
      <c r="I158" s="28"/>
      <c r="J158" s="28"/>
      <c r="K158" s="67">
        <v>15000</v>
      </c>
      <c r="L158" s="131">
        <f t="shared" si="29"/>
        <v>3900</v>
      </c>
      <c r="M158" s="157">
        <f t="shared" si="30"/>
        <v>0.18</v>
      </c>
      <c r="N158" s="131">
        <f t="shared" si="31"/>
        <v>9000</v>
      </c>
      <c r="O158" s="132">
        <f t="shared" si="32"/>
        <v>0.52</v>
      </c>
      <c r="P158" s="73">
        <v>1200</v>
      </c>
      <c r="Q158" s="56">
        <f>P158-R158</f>
        <v>1200</v>
      </c>
      <c r="R158" s="49">
        <f>S158+T158+V158+W158+X158</f>
        <v>0</v>
      </c>
      <c r="S158" s="55"/>
      <c r="T158" s="56"/>
      <c r="U158" s="56"/>
      <c r="V158" s="56"/>
      <c r="W158" s="56"/>
      <c r="X158" s="56"/>
      <c r="Y158" s="36" t="s">
        <v>184</v>
      </c>
    </row>
    <row r="159" spans="1:45" x14ac:dyDescent="0.3">
      <c r="A159" s="294" t="s">
        <v>189</v>
      </c>
      <c r="B159" s="294" t="s">
        <v>189</v>
      </c>
      <c r="C159" s="294" t="s">
        <v>189</v>
      </c>
      <c r="D159" s="18" t="s">
        <v>491</v>
      </c>
      <c r="E159" s="76">
        <v>9810592000105</v>
      </c>
      <c r="F159" s="16">
        <v>1</v>
      </c>
      <c r="G159" s="8" t="s">
        <v>72</v>
      </c>
      <c r="H159" s="26" t="s">
        <v>71</v>
      </c>
      <c r="I159" s="26" t="s">
        <v>71</v>
      </c>
      <c r="J159" s="26" t="s">
        <v>78</v>
      </c>
      <c r="K159" s="67">
        <v>39000</v>
      </c>
      <c r="L159" s="131">
        <f>K159*27%</f>
        <v>10530</v>
      </c>
      <c r="M159" s="157">
        <f t="shared" si="30"/>
        <v>7.7692307692307686E-2</v>
      </c>
      <c r="N159" s="131">
        <f t="shared" si="31"/>
        <v>23400</v>
      </c>
      <c r="O159" s="132">
        <f t="shared" si="32"/>
        <v>0.40769230769230769</v>
      </c>
      <c r="P159" s="73">
        <v>7500</v>
      </c>
      <c r="Q159" s="56">
        <f t="shared" si="33"/>
        <v>292</v>
      </c>
      <c r="R159" s="48">
        <f t="shared" si="28"/>
        <v>7208</v>
      </c>
      <c r="S159" s="52">
        <v>100</v>
      </c>
      <c r="T159" s="52">
        <v>6624</v>
      </c>
      <c r="U159" s="52">
        <f>T159/F159</f>
        <v>6624</v>
      </c>
      <c r="V159" s="52">
        <v>0</v>
      </c>
      <c r="W159" s="53">
        <v>473</v>
      </c>
      <c r="X159" s="52">
        <v>11</v>
      </c>
      <c r="Y159" s="43" t="s">
        <v>182</v>
      </c>
      <c r="AA159" s="40" t="s">
        <v>189</v>
      </c>
      <c r="AB159" s="40">
        <v>3</v>
      </c>
      <c r="AC159" s="168">
        <f t="shared" ref="AC159:AC160" si="39">SUM(AD159:AR159)</f>
        <v>7208</v>
      </c>
      <c r="AD159" s="173">
        <v>6624</v>
      </c>
      <c r="AE159" s="168">
        <v>100</v>
      </c>
      <c r="AF159" s="173"/>
      <c r="AG159" s="168"/>
      <c r="AH159" s="168"/>
      <c r="AI159" s="168"/>
      <c r="AJ159" s="168"/>
      <c r="AK159" s="170">
        <v>473</v>
      </c>
      <c r="AL159" s="170"/>
      <c r="AM159" s="168">
        <v>11</v>
      </c>
      <c r="AN159" s="170"/>
      <c r="AO159" s="168"/>
      <c r="AP159" s="168"/>
      <c r="AQ159" s="168"/>
      <c r="AR159" s="171"/>
      <c r="AS159" s="159"/>
    </row>
    <row r="160" spans="1:45" ht="11.45" customHeight="1" x14ac:dyDescent="0.3">
      <c r="A160" s="294"/>
      <c r="B160" s="294"/>
      <c r="C160" s="294"/>
      <c r="D160" s="18" t="s">
        <v>492</v>
      </c>
      <c r="E160" s="76">
        <v>9810592000104</v>
      </c>
      <c r="F160" s="16">
        <v>1</v>
      </c>
      <c r="G160" s="8" t="s">
        <v>72</v>
      </c>
      <c r="H160" s="26" t="s">
        <v>75</v>
      </c>
      <c r="I160" s="26" t="s">
        <v>75</v>
      </c>
      <c r="J160" s="26"/>
      <c r="K160" s="67">
        <v>21000</v>
      </c>
      <c r="L160" s="131">
        <f t="shared" si="29"/>
        <v>5460</v>
      </c>
      <c r="M160" s="157">
        <f t="shared" si="30"/>
        <v>6.9523809523809529E-2</v>
      </c>
      <c r="N160" s="131">
        <f t="shared" si="31"/>
        <v>12600</v>
      </c>
      <c r="O160" s="132">
        <f t="shared" si="32"/>
        <v>0.40952380952380951</v>
      </c>
      <c r="P160" s="73">
        <v>4000</v>
      </c>
      <c r="Q160" s="56">
        <f t="shared" si="33"/>
        <v>679</v>
      </c>
      <c r="R160" s="48">
        <f t="shared" si="28"/>
        <v>3321</v>
      </c>
      <c r="S160" s="52">
        <v>0</v>
      </c>
      <c r="T160" s="52">
        <v>3321</v>
      </c>
      <c r="U160" s="52">
        <f>T160/F160</f>
        <v>3321</v>
      </c>
      <c r="V160" s="52">
        <v>0</v>
      </c>
      <c r="W160" s="52">
        <v>0</v>
      </c>
      <c r="X160" s="52"/>
      <c r="Y160" s="42" t="s">
        <v>176</v>
      </c>
      <c r="AC160" s="168">
        <f t="shared" si="39"/>
        <v>3321</v>
      </c>
      <c r="AD160" s="173">
        <v>3321</v>
      </c>
      <c r="AE160" s="168"/>
      <c r="AF160" s="173"/>
      <c r="AG160" s="168"/>
      <c r="AH160" s="168"/>
      <c r="AI160" s="168"/>
      <c r="AJ160" s="168"/>
      <c r="AK160" s="170"/>
      <c r="AL160" s="170"/>
      <c r="AM160" s="168"/>
      <c r="AN160" s="170"/>
      <c r="AO160" s="168"/>
      <c r="AP160" s="168"/>
      <c r="AQ160" s="168">
        <f>X160/1.1</f>
        <v>0</v>
      </c>
      <c r="AR160" s="171"/>
      <c r="AS160" s="159"/>
    </row>
    <row r="161" spans="1:45" hidden="1" x14ac:dyDescent="0.3">
      <c r="A161" s="294"/>
      <c r="B161" s="294"/>
      <c r="C161" s="294"/>
      <c r="D161" s="23" t="s">
        <v>206</v>
      </c>
      <c r="E161" s="111"/>
      <c r="F161" s="27">
        <v>1</v>
      </c>
      <c r="G161" s="16" t="s">
        <v>82</v>
      </c>
      <c r="H161" s="28"/>
      <c r="I161" s="28"/>
      <c r="J161" s="28"/>
      <c r="K161" s="67">
        <v>45000</v>
      </c>
      <c r="L161" s="131">
        <f t="shared" si="29"/>
        <v>11700</v>
      </c>
      <c r="M161" s="157">
        <f t="shared" si="30"/>
        <v>9.3333333333333338E-2</v>
      </c>
      <c r="N161" s="131">
        <f t="shared" si="31"/>
        <v>27000</v>
      </c>
      <c r="O161" s="132">
        <f t="shared" si="32"/>
        <v>0.43333333333333335</v>
      </c>
      <c r="P161" s="73">
        <v>7500</v>
      </c>
      <c r="Q161" s="56">
        <f>P161-R161</f>
        <v>7500</v>
      </c>
      <c r="R161" s="49">
        <f>S161+T161+V161+W161+X161</f>
        <v>0</v>
      </c>
      <c r="S161" s="55"/>
      <c r="T161" s="56"/>
      <c r="U161" s="56"/>
      <c r="V161" s="56"/>
      <c r="W161" s="56"/>
      <c r="X161" s="56"/>
      <c r="Y161" s="36" t="s">
        <v>184</v>
      </c>
    </row>
    <row r="162" spans="1:45" ht="6" customHeight="1" x14ac:dyDescent="0.3">
      <c r="A162" s="37"/>
      <c r="B162" s="37"/>
      <c r="C162" s="59"/>
      <c r="D162" s="1"/>
      <c r="E162" s="1"/>
      <c r="F162" s="13"/>
      <c r="G162" s="14"/>
      <c r="H162" s="21"/>
      <c r="I162" s="21"/>
      <c r="J162" s="21"/>
      <c r="P162" s="74"/>
      <c r="R162" s="30"/>
      <c r="AC162" s="159"/>
      <c r="AD162" s="159"/>
      <c r="AE162" s="159"/>
      <c r="AF162" s="159"/>
      <c r="AG162" s="159"/>
      <c r="AH162" s="159"/>
      <c r="AI162" s="159"/>
      <c r="AJ162" s="159"/>
      <c r="AK162" s="159"/>
      <c r="AL162" s="161"/>
      <c r="AM162" s="159"/>
      <c r="AN162" s="161"/>
      <c r="AO162" s="159"/>
      <c r="AP162" s="159"/>
      <c r="AQ162" s="159"/>
      <c r="AR162" s="164"/>
      <c r="AS162" s="159"/>
    </row>
    <row r="163" spans="1:45" x14ac:dyDescent="0.3">
      <c r="A163" s="37" t="s">
        <v>498</v>
      </c>
      <c r="B163" s="37"/>
      <c r="C163" s="59"/>
      <c r="D163" s="1"/>
      <c r="E163" s="1"/>
      <c r="F163" s="13"/>
      <c r="G163" s="14"/>
      <c r="H163" s="21"/>
      <c r="I163" s="21"/>
      <c r="J163" s="21"/>
      <c r="L163" s="38" t="s">
        <v>232</v>
      </c>
      <c r="N163" s="38" t="s">
        <v>232</v>
      </c>
      <c r="R163" s="30"/>
      <c r="AC163" s="159"/>
      <c r="AD163" s="159"/>
      <c r="AE163" s="159"/>
      <c r="AF163" s="159"/>
      <c r="AG163" s="159"/>
      <c r="AH163" s="159"/>
      <c r="AI163" s="159"/>
      <c r="AJ163" s="159"/>
      <c r="AK163" s="159"/>
      <c r="AL163" s="161"/>
      <c r="AM163" s="159"/>
      <c r="AN163" s="161"/>
      <c r="AO163" s="159"/>
      <c r="AP163" s="159"/>
      <c r="AQ163" s="159"/>
      <c r="AR163" s="164"/>
      <c r="AS163" s="159"/>
    </row>
    <row r="164" spans="1:45" x14ac:dyDescent="0.3">
      <c r="A164" s="78" t="s">
        <v>211</v>
      </c>
      <c r="B164" s="78" t="s">
        <v>48</v>
      </c>
      <c r="C164" s="79" t="s">
        <v>55</v>
      </c>
      <c r="D164" s="23" t="s">
        <v>493</v>
      </c>
      <c r="E164" s="77">
        <v>9810592000043</v>
      </c>
      <c r="F164" s="27">
        <v>500</v>
      </c>
      <c r="G164" s="16" t="s">
        <v>179</v>
      </c>
      <c r="H164" s="26" t="s">
        <v>12</v>
      </c>
      <c r="I164" s="26" t="s">
        <v>47</v>
      </c>
      <c r="J164" s="28"/>
      <c r="K164" s="67">
        <v>13000</v>
      </c>
      <c r="L164" s="131"/>
      <c r="M164" s="157"/>
      <c r="N164" s="131">
        <v>3900</v>
      </c>
      <c r="O164" s="132">
        <f t="shared" ref="O164:O166" si="40">(N164-P164)/K164</f>
        <v>0.1</v>
      </c>
      <c r="P164" s="73">
        <v>2600</v>
      </c>
      <c r="Q164" s="56">
        <f t="shared" ref="Q164" si="41">P164-R164</f>
        <v>183</v>
      </c>
      <c r="R164" s="49">
        <f t="shared" ref="R164" si="42">S164+T164+V164+W164+X164</f>
        <v>2417</v>
      </c>
      <c r="S164" s="73">
        <v>275</v>
      </c>
      <c r="T164" s="73">
        <v>1485</v>
      </c>
      <c r="U164" s="56"/>
      <c r="V164" s="73">
        <f>308+44+88</f>
        <v>440</v>
      </c>
      <c r="W164" s="56"/>
      <c r="X164" s="56">
        <f>198+19</f>
        <v>217</v>
      </c>
      <c r="Z164" s="40" t="s">
        <v>211</v>
      </c>
      <c r="AC164" s="159"/>
      <c r="AD164" s="159"/>
      <c r="AE164" s="159"/>
      <c r="AF164" s="159">
        <v>308</v>
      </c>
      <c r="AG164" s="159">
        <v>88</v>
      </c>
      <c r="AH164" s="159">
        <v>44</v>
      </c>
      <c r="AI164" s="159"/>
      <c r="AJ164" s="159"/>
      <c r="AK164" s="161"/>
      <c r="AL164" s="161"/>
      <c r="AM164" s="159"/>
      <c r="AN164" s="161"/>
      <c r="AO164" s="159"/>
      <c r="AP164" s="159"/>
      <c r="AQ164" s="159"/>
      <c r="AR164" s="164"/>
      <c r="AS164" s="159"/>
    </row>
    <row r="165" spans="1:45" x14ac:dyDescent="0.3">
      <c r="A165" s="291" t="s">
        <v>212</v>
      </c>
      <c r="B165" s="78" t="s">
        <v>213</v>
      </c>
      <c r="C165" s="80" t="s">
        <v>214</v>
      </c>
      <c r="D165" s="23" t="s">
        <v>494</v>
      </c>
      <c r="E165" s="77">
        <v>9810592000416</v>
      </c>
      <c r="F165" s="27">
        <v>38</v>
      </c>
      <c r="G165" s="16" t="s">
        <v>209</v>
      </c>
      <c r="H165" s="28"/>
      <c r="I165" s="28"/>
      <c r="J165" s="28" t="s">
        <v>79</v>
      </c>
      <c r="K165" s="67">
        <v>23000</v>
      </c>
      <c r="L165" s="131"/>
      <c r="M165" s="157"/>
      <c r="N165" s="131">
        <v>12535</v>
      </c>
      <c r="O165" s="132">
        <f t="shared" si="40"/>
        <v>0.26239130434782609</v>
      </c>
      <c r="P165" s="51">
        <v>6500</v>
      </c>
      <c r="Q165" s="56">
        <f>P165-R165</f>
        <v>628</v>
      </c>
      <c r="R165" s="49">
        <f>S165+T165+V165+W165+X165</f>
        <v>5872</v>
      </c>
      <c r="S165" s="55">
        <v>1490</v>
      </c>
      <c r="T165" s="56">
        <v>900</v>
      </c>
      <c r="U165" s="56">
        <v>23.684210526315791</v>
      </c>
      <c r="V165" s="56">
        <v>1837</v>
      </c>
      <c r="W165" s="73">
        <v>429</v>
      </c>
      <c r="X165" s="52">
        <f>11+385+820</f>
        <v>1216</v>
      </c>
      <c r="Z165" s="40" t="s">
        <v>210</v>
      </c>
      <c r="AC165" s="159"/>
      <c r="AD165" s="159">
        <v>325</v>
      </c>
      <c r="AE165" s="159">
        <v>319</v>
      </c>
      <c r="AF165" s="159"/>
      <c r="AG165" s="159"/>
      <c r="AH165" s="159"/>
      <c r="AI165" s="159"/>
      <c r="AJ165" s="159"/>
      <c r="AK165" s="161">
        <v>429</v>
      </c>
      <c r="AL165" s="161">
        <v>275</v>
      </c>
      <c r="AM165" s="159">
        <v>110</v>
      </c>
      <c r="AN165" s="161"/>
      <c r="AO165" s="159"/>
      <c r="AP165" s="159"/>
      <c r="AQ165" s="159"/>
      <c r="AR165" s="164"/>
      <c r="AS165" s="159"/>
    </row>
    <row r="166" spans="1:45" x14ac:dyDescent="0.3">
      <c r="A166" s="291"/>
      <c r="B166" s="78" t="s">
        <v>217</v>
      </c>
      <c r="C166" s="79" t="s">
        <v>217</v>
      </c>
      <c r="D166" s="23" t="s">
        <v>495</v>
      </c>
      <c r="E166" s="77">
        <v>9810592000385</v>
      </c>
      <c r="F166" s="27">
        <v>1</v>
      </c>
      <c r="G166" s="16" t="s">
        <v>82</v>
      </c>
      <c r="H166" s="28"/>
      <c r="I166" s="28" t="s">
        <v>35</v>
      </c>
      <c r="J166" s="28" t="s">
        <v>216</v>
      </c>
      <c r="K166" s="67">
        <v>39000</v>
      </c>
      <c r="L166" s="131"/>
      <c r="M166" s="157"/>
      <c r="N166" s="131">
        <v>10530</v>
      </c>
      <c r="O166" s="132">
        <f t="shared" si="40"/>
        <v>2.6410256410256409E-2</v>
      </c>
      <c r="P166" s="51">
        <v>9500</v>
      </c>
      <c r="Q166" s="56">
        <f>P166-R166</f>
        <v>520</v>
      </c>
      <c r="R166" s="49">
        <f>S166+T166+V166+W166+X166</f>
        <v>8980</v>
      </c>
      <c r="S166" s="55">
        <f>100+100</f>
        <v>200</v>
      </c>
      <c r="T166" s="56">
        <v>6624</v>
      </c>
      <c r="U166" s="56"/>
      <c r="V166" s="73">
        <v>363</v>
      </c>
      <c r="W166" s="75">
        <f>374+473</f>
        <v>847</v>
      </c>
      <c r="X166" s="56">
        <v>946</v>
      </c>
      <c r="Z166" s="40" t="s">
        <v>210</v>
      </c>
      <c r="AC166" s="159"/>
      <c r="AD166" s="159"/>
      <c r="AE166" s="159"/>
      <c r="AF166" s="159"/>
      <c r="AG166" s="159"/>
      <c r="AH166" s="159"/>
      <c r="AI166" s="159"/>
      <c r="AJ166" s="159"/>
      <c r="AK166" s="161">
        <v>374</v>
      </c>
      <c r="AL166" s="161"/>
      <c r="AM166" s="159"/>
      <c r="AN166" s="161"/>
      <c r="AO166" s="159"/>
      <c r="AP166" s="159"/>
      <c r="AQ166" s="159"/>
      <c r="AR166" s="164"/>
      <c r="AS166" s="159"/>
    </row>
    <row r="167" spans="1:45" x14ac:dyDescent="0.3">
      <c r="A167" s="291" t="s">
        <v>218</v>
      </c>
      <c r="B167" s="78" t="s">
        <v>6</v>
      </c>
      <c r="C167" s="79" t="s">
        <v>43</v>
      </c>
      <c r="D167" s="7" t="s">
        <v>496</v>
      </c>
      <c r="E167" s="76">
        <v>9810592000419</v>
      </c>
      <c r="F167" s="16">
        <v>50</v>
      </c>
      <c r="G167" s="8" t="s">
        <v>16</v>
      </c>
      <c r="H167" s="26" t="s">
        <v>70</v>
      </c>
      <c r="I167" s="26" t="s">
        <v>46</v>
      </c>
      <c r="J167" s="26" t="s">
        <v>78</v>
      </c>
      <c r="K167" s="67">
        <v>12000</v>
      </c>
      <c r="L167" s="133">
        <v>3000</v>
      </c>
      <c r="M167" s="157">
        <f t="shared" ref="M167" si="43">(L167-P167)/K167</f>
        <v>7.4999999999999997E-2</v>
      </c>
      <c r="N167" s="131"/>
      <c r="O167" s="132"/>
      <c r="P167" s="73">
        <v>2100</v>
      </c>
      <c r="Q167" s="56">
        <f t="shared" ref="Q167:Q174" si="44">P167-R167</f>
        <v>394</v>
      </c>
      <c r="R167" s="48">
        <f t="shared" ref="R167:R174" si="45">S167+T167+V167+W167+X167</f>
        <v>1706</v>
      </c>
      <c r="S167" s="52"/>
      <c r="T167" s="52">
        <v>1167</v>
      </c>
      <c r="U167" s="52">
        <f>T167/F167</f>
        <v>23.34</v>
      </c>
      <c r="V167" s="52">
        <v>330</v>
      </c>
      <c r="W167" s="53">
        <v>209</v>
      </c>
      <c r="X167" s="52"/>
      <c r="Y167" s="41"/>
      <c r="AC167" s="159"/>
      <c r="AD167" s="159"/>
      <c r="AE167" s="159"/>
      <c r="AF167" s="159"/>
      <c r="AG167" s="159"/>
      <c r="AH167" s="159"/>
      <c r="AI167" s="159"/>
      <c r="AJ167" s="159"/>
      <c r="AK167" s="161"/>
      <c r="AL167" s="161"/>
      <c r="AM167" s="159"/>
      <c r="AN167" s="161"/>
      <c r="AO167" s="159"/>
      <c r="AP167" s="159"/>
      <c r="AQ167" s="159"/>
      <c r="AR167" s="164"/>
      <c r="AS167" s="159"/>
    </row>
    <row r="168" spans="1:45" ht="11.45" customHeight="1" x14ac:dyDescent="0.3">
      <c r="A168" s="291"/>
      <c r="B168" s="291" t="s">
        <v>58</v>
      </c>
      <c r="C168" s="293" t="s">
        <v>59</v>
      </c>
      <c r="D168" s="7" t="s">
        <v>220</v>
      </c>
      <c r="E168" s="76">
        <v>9810592000405</v>
      </c>
      <c r="F168" s="12">
        <v>120</v>
      </c>
      <c r="G168" s="8" t="s">
        <v>8</v>
      </c>
      <c r="H168" s="26" t="s">
        <v>70</v>
      </c>
      <c r="I168" s="26" t="s">
        <v>35</v>
      </c>
      <c r="J168" s="26"/>
      <c r="K168" s="67">
        <v>9000</v>
      </c>
      <c r="L168" s="134"/>
      <c r="M168" s="157"/>
      <c r="N168" s="131"/>
      <c r="O168" s="132"/>
      <c r="P168" s="73">
        <v>1700</v>
      </c>
      <c r="Q168" s="56">
        <f t="shared" si="44"/>
        <v>85</v>
      </c>
      <c r="R168" s="48">
        <f t="shared" si="45"/>
        <v>1615</v>
      </c>
      <c r="S168" s="52">
        <v>198</v>
      </c>
      <c r="T168" s="52">
        <v>792</v>
      </c>
      <c r="U168" s="52">
        <f>T168/F168</f>
        <v>6.6</v>
      </c>
      <c r="V168" s="52">
        <v>429</v>
      </c>
      <c r="W168" s="52">
        <v>0</v>
      </c>
      <c r="X168" s="53">
        <f>182+14</f>
        <v>196</v>
      </c>
      <c r="Y168" s="42"/>
      <c r="Z168" s="40" t="s">
        <v>233</v>
      </c>
      <c r="AA168" s="40" t="s">
        <v>336</v>
      </c>
      <c r="AC168" s="159"/>
      <c r="AD168" s="159"/>
      <c r="AE168" s="159"/>
      <c r="AF168" s="159">
        <v>429</v>
      </c>
      <c r="AG168" s="159"/>
      <c r="AH168" s="159"/>
      <c r="AI168" s="159"/>
      <c r="AJ168" s="159"/>
      <c r="AK168" s="161"/>
      <c r="AL168" s="161"/>
      <c r="AM168" s="159"/>
      <c r="AN168" s="161"/>
      <c r="AO168" s="159"/>
      <c r="AP168" s="159"/>
      <c r="AQ168" s="159"/>
      <c r="AR168" s="164"/>
      <c r="AS168" s="159"/>
    </row>
    <row r="169" spans="1:45" ht="11.45" customHeight="1" x14ac:dyDescent="0.3">
      <c r="A169" s="291"/>
      <c r="B169" s="291"/>
      <c r="C169" s="293"/>
      <c r="D169" s="7" t="s">
        <v>221</v>
      </c>
      <c r="E169" s="76">
        <v>9810592000406</v>
      </c>
      <c r="F169" s="12">
        <v>120</v>
      </c>
      <c r="G169" s="8" t="s">
        <v>16</v>
      </c>
      <c r="H169" s="26" t="s">
        <v>12</v>
      </c>
      <c r="I169" s="26" t="s">
        <v>35</v>
      </c>
      <c r="J169" s="26"/>
      <c r="K169" s="67">
        <v>12000</v>
      </c>
      <c r="L169" s="134"/>
      <c r="M169" s="157"/>
      <c r="N169" s="131"/>
      <c r="O169" s="132"/>
      <c r="P169" s="73">
        <v>2000</v>
      </c>
      <c r="Q169" s="56">
        <f t="shared" si="44"/>
        <v>102</v>
      </c>
      <c r="R169" s="48">
        <f t="shared" si="45"/>
        <v>1898</v>
      </c>
      <c r="S169" s="52">
        <v>156</v>
      </c>
      <c r="T169" s="52">
        <v>1024</v>
      </c>
      <c r="U169" s="52">
        <f>T169/F169</f>
        <v>8.5333333333333332</v>
      </c>
      <c r="V169" s="52">
        <v>429</v>
      </c>
      <c r="W169" s="52">
        <v>0</v>
      </c>
      <c r="X169" s="53">
        <f>275+14</f>
        <v>289</v>
      </c>
      <c r="Y169" s="42"/>
      <c r="Z169" s="40" t="s">
        <v>233</v>
      </c>
      <c r="AA169" s="40" t="s">
        <v>336</v>
      </c>
      <c r="AC169" s="159"/>
      <c r="AD169" s="159"/>
      <c r="AE169" s="159"/>
      <c r="AF169" s="159">
        <v>429</v>
      </c>
      <c r="AG169" s="159"/>
      <c r="AH169" s="159"/>
      <c r="AI169" s="159"/>
      <c r="AJ169" s="159"/>
      <c r="AK169" s="161"/>
      <c r="AL169" s="161"/>
      <c r="AM169" s="159"/>
      <c r="AN169" s="161"/>
      <c r="AO169" s="159"/>
      <c r="AP169" s="159"/>
      <c r="AQ169" s="159"/>
      <c r="AR169" s="164"/>
      <c r="AS169" s="159"/>
    </row>
    <row r="170" spans="1:45" ht="11.45" customHeight="1" x14ac:dyDescent="0.3">
      <c r="A170" s="291"/>
      <c r="B170" s="291" t="s">
        <v>202</v>
      </c>
      <c r="C170" s="293" t="s">
        <v>36</v>
      </c>
      <c r="D170" s="7" t="s">
        <v>222</v>
      </c>
      <c r="E170" s="76">
        <v>9810592000407</v>
      </c>
      <c r="F170" s="12">
        <v>100</v>
      </c>
      <c r="G170" s="8" t="s">
        <v>8</v>
      </c>
      <c r="H170" s="26" t="s">
        <v>27</v>
      </c>
      <c r="I170" s="26" t="s">
        <v>35</v>
      </c>
      <c r="J170" s="26" t="s">
        <v>76</v>
      </c>
      <c r="K170" s="67">
        <v>18000</v>
      </c>
      <c r="L170" s="134"/>
      <c r="M170" s="157"/>
      <c r="N170" s="131"/>
      <c r="O170" s="132"/>
      <c r="P170" s="73">
        <v>1700</v>
      </c>
      <c r="Q170" s="56">
        <f t="shared" si="44"/>
        <v>220.5</v>
      </c>
      <c r="R170" s="48">
        <f t="shared" si="45"/>
        <v>1479.5</v>
      </c>
      <c r="S170" s="52">
        <v>590</v>
      </c>
      <c r="T170" s="52">
        <v>334</v>
      </c>
      <c r="U170" s="52">
        <f t="shared" ref="U170:U174" si="46">T170/F170</f>
        <v>3.34</v>
      </c>
      <c r="V170" s="52">
        <v>407</v>
      </c>
      <c r="W170" s="53">
        <f>135*1.1</f>
        <v>148.5</v>
      </c>
      <c r="X170" s="52"/>
      <c r="Y170" s="42"/>
      <c r="Z170" s="40" t="s">
        <v>233</v>
      </c>
      <c r="AA170" s="40" t="s">
        <v>336</v>
      </c>
      <c r="AC170" s="159"/>
      <c r="AD170" s="159">
        <v>429</v>
      </c>
      <c r="AE170" s="159">
        <v>526</v>
      </c>
      <c r="AF170" s="159">
        <v>407</v>
      </c>
      <c r="AG170" s="159"/>
      <c r="AH170" s="159"/>
      <c r="AI170" s="159"/>
      <c r="AJ170" s="159"/>
      <c r="AK170" s="161">
        <v>148.5</v>
      </c>
      <c r="AL170" s="161"/>
      <c r="AM170" s="159"/>
      <c r="AN170" s="161"/>
      <c r="AO170" s="159"/>
      <c r="AP170" s="159"/>
      <c r="AQ170" s="159"/>
      <c r="AR170" s="164"/>
      <c r="AS170" s="159"/>
    </row>
    <row r="171" spans="1:45" ht="11.45" customHeight="1" x14ac:dyDescent="0.3">
      <c r="A171" s="291"/>
      <c r="B171" s="291"/>
      <c r="C171" s="293"/>
      <c r="D171" s="7" t="s">
        <v>223</v>
      </c>
      <c r="E171" s="76">
        <v>9810592000408</v>
      </c>
      <c r="F171" s="12">
        <v>100</v>
      </c>
      <c r="G171" s="8" t="s">
        <v>8</v>
      </c>
      <c r="H171" s="26" t="s">
        <v>27</v>
      </c>
      <c r="I171" s="26" t="s">
        <v>97</v>
      </c>
      <c r="J171" s="26" t="s">
        <v>76</v>
      </c>
      <c r="K171" s="67">
        <v>17000</v>
      </c>
      <c r="L171" s="134"/>
      <c r="M171" s="157"/>
      <c r="N171" s="131"/>
      <c r="O171" s="132"/>
      <c r="P171" s="73">
        <v>2200</v>
      </c>
      <c r="Q171" s="56">
        <f t="shared" si="44"/>
        <v>203.5</v>
      </c>
      <c r="R171" s="48">
        <f t="shared" si="45"/>
        <v>1996.5</v>
      </c>
      <c r="S171" s="52">
        <v>690</v>
      </c>
      <c r="T171" s="52">
        <v>509</v>
      </c>
      <c r="U171" s="52">
        <f t="shared" si="46"/>
        <v>5.09</v>
      </c>
      <c r="V171" s="53">
        <f>418+121+49.5</f>
        <v>588.5</v>
      </c>
      <c r="W171" s="52">
        <v>209</v>
      </c>
      <c r="X171" s="52"/>
      <c r="Y171" s="42"/>
      <c r="Z171" s="40" t="s">
        <v>233</v>
      </c>
      <c r="AA171" s="40" t="s">
        <v>336</v>
      </c>
      <c r="AC171" s="159"/>
      <c r="AD171" s="159">
        <v>660</v>
      </c>
      <c r="AE171" s="159">
        <v>539</v>
      </c>
      <c r="AF171" s="159">
        <v>418</v>
      </c>
      <c r="AG171" s="159">
        <v>121</v>
      </c>
      <c r="AH171" s="159"/>
      <c r="AI171" s="159">
        <v>50</v>
      </c>
      <c r="AJ171" s="159"/>
      <c r="AK171" s="161">
        <v>127</v>
      </c>
      <c r="AL171" s="161"/>
      <c r="AM171" s="159"/>
      <c r="AN171" s="161"/>
      <c r="AO171" s="159"/>
      <c r="AP171" s="159"/>
      <c r="AQ171" s="159"/>
      <c r="AR171" s="164"/>
      <c r="AS171" s="159"/>
    </row>
    <row r="172" spans="1:45" ht="11.45" customHeight="1" x14ac:dyDescent="0.3">
      <c r="A172" s="291"/>
      <c r="B172" s="291" t="s">
        <v>229</v>
      </c>
      <c r="C172" s="293" t="s">
        <v>318</v>
      </c>
      <c r="D172" s="7" t="s">
        <v>306</v>
      </c>
      <c r="E172" s="76">
        <v>9810592000229</v>
      </c>
      <c r="F172" s="12">
        <v>20</v>
      </c>
      <c r="G172" s="8" t="s">
        <v>307</v>
      </c>
      <c r="H172" s="26"/>
      <c r="I172" s="26"/>
      <c r="J172" s="26"/>
      <c r="K172" s="67">
        <v>1000</v>
      </c>
      <c r="L172" s="134">
        <v>160</v>
      </c>
      <c r="M172" s="157"/>
      <c r="N172" s="131"/>
      <c r="O172" s="132"/>
      <c r="P172" s="73">
        <v>150</v>
      </c>
      <c r="Q172" s="56">
        <f t="shared" si="44"/>
        <v>20.099999999999994</v>
      </c>
      <c r="R172" s="48">
        <f t="shared" si="45"/>
        <v>129.9</v>
      </c>
      <c r="S172" s="52">
        <v>1.5</v>
      </c>
      <c r="T172" s="52">
        <v>123.2</v>
      </c>
      <c r="U172" s="52"/>
      <c r="V172" s="53"/>
      <c r="W172" s="52"/>
      <c r="X172" s="52">
        <v>5.2</v>
      </c>
      <c r="Y172" s="42"/>
      <c r="Z172" s="40" t="s">
        <v>308</v>
      </c>
      <c r="AA172" s="40" t="s">
        <v>497</v>
      </c>
      <c r="AC172" s="159"/>
      <c r="AD172" s="159"/>
      <c r="AE172" s="159"/>
      <c r="AF172" s="159"/>
      <c r="AG172" s="159"/>
      <c r="AH172" s="159"/>
      <c r="AI172" s="159"/>
      <c r="AJ172" s="159"/>
      <c r="AK172" s="161"/>
      <c r="AL172" s="161"/>
      <c r="AM172" s="159"/>
      <c r="AN172" s="161"/>
      <c r="AO172" s="159"/>
      <c r="AP172" s="159"/>
      <c r="AQ172" s="159"/>
      <c r="AR172" s="164"/>
      <c r="AS172" s="159"/>
    </row>
    <row r="173" spans="1:45" ht="11.45" customHeight="1" x14ac:dyDescent="0.3">
      <c r="A173" s="291"/>
      <c r="B173" s="291"/>
      <c r="C173" s="293"/>
      <c r="D173" s="7" t="s">
        <v>316</v>
      </c>
      <c r="E173" s="76">
        <v>9810592000228</v>
      </c>
      <c r="F173" s="12">
        <v>20</v>
      </c>
      <c r="G173" s="8" t="s">
        <v>307</v>
      </c>
      <c r="H173" s="26"/>
      <c r="I173" s="26"/>
      <c r="J173" s="26"/>
      <c r="K173" s="67">
        <v>1000</v>
      </c>
      <c r="L173" s="134">
        <v>160</v>
      </c>
      <c r="M173" s="157"/>
      <c r="N173" s="131"/>
      <c r="O173" s="132"/>
      <c r="P173" s="73">
        <v>150</v>
      </c>
      <c r="Q173" s="56">
        <f t="shared" si="44"/>
        <v>20.099999999999994</v>
      </c>
      <c r="R173" s="48">
        <f t="shared" si="45"/>
        <v>129.9</v>
      </c>
      <c r="S173" s="52">
        <v>1.5</v>
      </c>
      <c r="T173" s="52">
        <v>123.2</v>
      </c>
      <c r="U173" s="52"/>
      <c r="V173" s="53"/>
      <c r="W173" s="52"/>
      <c r="X173" s="52">
        <v>5.2</v>
      </c>
      <c r="Y173" s="42"/>
      <c r="Z173" s="40" t="s">
        <v>308</v>
      </c>
      <c r="AA173" s="40" t="s">
        <v>497</v>
      </c>
      <c r="AC173" s="159"/>
      <c r="AD173" s="159"/>
      <c r="AE173" s="159"/>
      <c r="AF173" s="159"/>
      <c r="AG173" s="159"/>
      <c r="AH173" s="159"/>
      <c r="AI173" s="159"/>
      <c r="AJ173" s="159"/>
      <c r="AK173" s="161"/>
      <c r="AL173" s="161"/>
      <c r="AM173" s="159"/>
      <c r="AN173" s="161"/>
      <c r="AO173" s="159"/>
      <c r="AP173" s="159"/>
      <c r="AQ173" s="159"/>
      <c r="AR173" s="164"/>
      <c r="AS173" s="159"/>
    </row>
    <row r="174" spans="1:45" ht="11.45" customHeight="1" x14ac:dyDescent="0.3">
      <c r="A174" s="291"/>
      <c r="B174" s="78" t="s">
        <v>229</v>
      </c>
      <c r="C174" s="79" t="s">
        <v>89</v>
      </c>
      <c r="D174" s="7" t="s">
        <v>224</v>
      </c>
      <c r="E174" s="76">
        <v>9810592000409</v>
      </c>
      <c r="F174" s="16">
        <v>5</v>
      </c>
      <c r="G174" s="8" t="s">
        <v>82</v>
      </c>
      <c r="H174" s="26" t="s">
        <v>10</v>
      </c>
      <c r="I174" s="26" t="s">
        <v>37</v>
      </c>
      <c r="J174" s="47" t="s">
        <v>76</v>
      </c>
      <c r="K174" s="67">
        <v>15000</v>
      </c>
      <c r="L174" s="134"/>
      <c r="M174" s="157"/>
      <c r="N174" s="131"/>
      <c r="O174" s="132"/>
      <c r="P174" s="73">
        <v>2800</v>
      </c>
      <c r="Q174" s="56">
        <f t="shared" si="44"/>
        <v>140</v>
      </c>
      <c r="R174" s="112">
        <f t="shared" si="45"/>
        <v>2660</v>
      </c>
      <c r="S174" s="52"/>
      <c r="T174" s="57">
        <f>500*5</f>
        <v>2500</v>
      </c>
      <c r="U174" s="52">
        <f t="shared" si="46"/>
        <v>500</v>
      </c>
      <c r="V174" s="52">
        <v>0</v>
      </c>
      <c r="W174" s="52">
        <v>160</v>
      </c>
      <c r="X174" s="52"/>
      <c r="Y174" s="42"/>
      <c r="Z174" s="40" t="s">
        <v>233</v>
      </c>
      <c r="AA174" s="40" t="s">
        <v>336</v>
      </c>
      <c r="AC174" s="159"/>
      <c r="AD174" s="159">
        <v>420.5</v>
      </c>
      <c r="AE174" s="159">
        <v>106.4</v>
      </c>
      <c r="AF174" s="160">
        <v>0</v>
      </c>
      <c r="AG174" s="159"/>
      <c r="AH174" s="159"/>
      <c r="AI174" s="159"/>
      <c r="AJ174" s="159"/>
      <c r="AK174" s="161">
        <v>160</v>
      </c>
      <c r="AL174" s="161"/>
      <c r="AM174" s="159"/>
      <c r="AN174" s="161"/>
      <c r="AO174" s="159"/>
      <c r="AP174" s="159"/>
      <c r="AQ174" s="159"/>
      <c r="AR174" s="164"/>
      <c r="AS174" s="159"/>
    </row>
    <row r="175" spans="1:45" x14ac:dyDescent="0.3">
      <c r="A175" s="37"/>
      <c r="B175" s="37"/>
      <c r="C175" s="59"/>
      <c r="D175" s="1"/>
      <c r="E175" s="1"/>
      <c r="F175" s="13"/>
      <c r="G175" s="14"/>
      <c r="H175" s="21"/>
      <c r="I175" s="21"/>
      <c r="J175" s="21"/>
      <c r="R175" s="30"/>
      <c r="AK175" s="161"/>
      <c r="AN175" s="161"/>
      <c r="AR175" s="164"/>
    </row>
    <row r="176" spans="1:45" x14ac:dyDescent="0.3">
      <c r="A176" s="37" t="s">
        <v>330</v>
      </c>
      <c r="B176" s="37"/>
      <c r="C176" s="59"/>
      <c r="D176" s="1"/>
      <c r="E176" s="1"/>
      <c r="F176" s="13"/>
      <c r="G176" s="14"/>
      <c r="H176" s="21"/>
      <c r="I176" s="21"/>
      <c r="J176" s="21"/>
      <c r="R176" s="30"/>
      <c r="AK176" s="161"/>
      <c r="AN176" s="161"/>
      <c r="AR176" s="164"/>
    </row>
    <row r="177" spans="1:44" ht="10.9" customHeight="1" x14ac:dyDescent="0.3">
      <c r="A177" s="291" t="s">
        <v>286</v>
      </c>
      <c r="B177" s="291" t="s">
        <v>285</v>
      </c>
      <c r="C177" s="292" t="s">
        <v>287</v>
      </c>
      <c r="D177" s="23" t="s">
        <v>273</v>
      </c>
      <c r="E177" s="77">
        <v>9810592000266</v>
      </c>
      <c r="F177" s="27">
        <v>50</v>
      </c>
      <c r="G177" s="16" t="s">
        <v>179</v>
      </c>
      <c r="H177" s="26" t="s">
        <v>70</v>
      </c>
      <c r="I177" s="26"/>
      <c r="J177" s="28"/>
      <c r="K177" s="67">
        <v>23000</v>
      </c>
      <c r="L177" s="131">
        <f>K177*20%</f>
        <v>4600</v>
      </c>
      <c r="M177" s="157">
        <f t="shared" ref="M177:M198" si="47">(L177-P177)/K177</f>
        <v>7.8260869565217397E-2</v>
      </c>
      <c r="N177" s="131">
        <f t="shared" ref="N177:N198" si="48">K177*60%</f>
        <v>13800</v>
      </c>
      <c r="O177" s="132">
        <f t="shared" ref="O177:O198" si="49">(N177-P177)/K177</f>
        <v>0.47826086956521741</v>
      </c>
      <c r="P177" s="73">
        <v>2800</v>
      </c>
      <c r="Q177" s="56">
        <f t="shared" ref="Q177" si="50">P177-R177</f>
        <v>193</v>
      </c>
      <c r="R177" s="49">
        <f>S177+T177+V177+W177+X177</f>
        <v>2607</v>
      </c>
      <c r="S177" s="73"/>
      <c r="T177" s="73">
        <v>770</v>
      </c>
      <c r="U177" s="56">
        <f>T177/F177</f>
        <v>15.4</v>
      </c>
      <c r="V177" s="73">
        <f>1560*1.1</f>
        <v>1716.0000000000002</v>
      </c>
      <c r="W177" s="56">
        <v>121</v>
      </c>
      <c r="X177" s="56"/>
      <c r="AK177" s="161"/>
      <c r="AN177" s="161"/>
      <c r="AR177" s="164"/>
    </row>
    <row r="178" spans="1:44" x14ac:dyDescent="0.3">
      <c r="A178" s="291"/>
      <c r="B178" s="291"/>
      <c r="C178" s="292"/>
      <c r="D178" s="23" t="s">
        <v>274</v>
      </c>
      <c r="E178" s="77">
        <v>9810592000265</v>
      </c>
      <c r="F178" s="27">
        <v>50</v>
      </c>
      <c r="G178" s="16" t="s">
        <v>179</v>
      </c>
      <c r="H178" s="26" t="s">
        <v>70</v>
      </c>
      <c r="I178" s="28"/>
      <c r="J178" s="28"/>
      <c r="K178" s="67">
        <v>23000</v>
      </c>
      <c r="L178" s="131">
        <f t="shared" ref="L178:L198" si="51">K178*20%</f>
        <v>4600</v>
      </c>
      <c r="M178" s="157">
        <f t="shared" si="47"/>
        <v>7.8260869565217397E-2</v>
      </c>
      <c r="N178" s="131">
        <f t="shared" si="48"/>
        <v>13800</v>
      </c>
      <c r="O178" s="132">
        <f t="shared" si="49"/>
        <v>0.47826086956521741</v>
      </c>
      <c r="P178" s="73">
        <v>2800</v>
      </c>
      <c r="Q178" s="56">
        <f>P178-R178</f>
        <v>193</v>
      </c>
      <c r="R178" s="49">
        <f>S178+T178+V178+W178+X178</f>
        <v>2607</v>
      </c>
      <c r="S178" s="55"/>
      <c r="T178" s="56">
        <v>770</v>
      </c>
      <c r="U178" s="56">
        <f t="shared" ref="U178:U198" si="52">T178/F178</f>
        <v>15.4</v>
      </c>
      <c r="V178" s="73">
        <f t="shared" ref="V178:V183" si="53">1560*1.1</f>
        <v>1716.0000000000002</v>
      </c>
      <c r="W178" s="56">
        <v>121</v>
      </c>
      <c r="X178" s="52"/>
      <c r="AK178" s="161"/>
      <c r="AN178" s="161"/>
      <c r="AR178" s="164"/>
    </row>
    <row r="179" spans="1:44" x14ac:dyDescent="0.3">
      <c r="A179" s="291"/>
      <c r="B179" s="291"/>
      <c r="C179" s="292"/>
      <c r="D179" s="23" t="s">
        <v>275</v>
      </c>
      <c r="E179" s="77">
        <v>9810592000264</v>
      </c>
      <c r="F179" s="27">
        <v>50</v>
      </c>
      <c r="G179" s="16" t="s">
        <v>179</v>
      </c>
      <c r="H179" s="26" t="s">
        <v>70</v>
      </c>
      <c r="I179" s="28"/>
      <c r="J179" s="28"/>
      <c r="K179" s="67">
        <v>23000</v>
      </c>
      <c r="L179" s="131">
        <f t="shared" si="51"/>
        <v>4600</v>
      </c>
      <c r="M179" s="157">
        <f t="shared" si="47"/>
        <v>7.8260869565217397E-2</v>
      </c>
      <c r="N179" s="131">
        <f t="shared" si="48"/>
        <v>13800</v>
      </c>
      <c r="O179" s="132">
        <f t="shared" si="49"/>
        <v>0.47826086956521741</v>
      </c>
      <c r="P179" s="73">
        <v>2800</v>
      </c>
      <c r="Q179" s="56">
        <f t="shared" ref="Q179:Q199" si="54">P179-R179</f>
        <v>193</v>
      </c>
      <c r="R179" s="49">
        <f t="shared" ref="R179:R199" si="55">S179+T179+V179+W179+X179</f>
        <v>2607</v>
      </c>
      <c r="S179" s="55"/>
      <c r="T179" s="56">
        <v>770</v>
      </c>
      <c r="U179" s="56">
        <f t="shared" si="52"/>
        <v>15.4</v>
      </c>
      <c r="V179" s="73">
        <f t="shared" si="53"/>
        <v>1716.0000000000002</v>
      </c>
      <c r="W179" s="56">
        <v>121</v>
      </c>
      <c r="X179" s="56"/>
      <c r="AK179" s="161"/>
      <c r="AN179" s="161"/>
      <c r="AR179" s="164"/>
    </row>
    <row r="180" spans="1:44" x14ac:dyDescent="0.3">
      <c r="A180" s="291"/>
      <c r="B180" s="291"/>
      <c r="C180" s="292"/>
      <c r="D180" s="23" t="s">
        <v>276</v>
      </c>
      <c r="E180" s="77">
        <v>9810592000263</v>
      </c>
      <c r="F180" s="27">
        <v>50</v>
      </c>
      <c r="G180" s="16" t="s">
        <v>179</v>
      </c>
      <c r="H180" s="26" t="s">
        <v>70</v>
      </c>
      <c r="I180" s="28"/>
      <c r="J180" s="28"/>
      <c r="K180" s="67">
        <v>23000</v>
      </c>
      <c r="L180" s="131">
        <f t="shared" si="51"/>
        <v>4600</v>
      </c>
      <c r="M180" s="157">
        <f t="shared" si="47"/>
        <v>7.8260869565217397E-2</v>
      </c>
      <c r="N180" s="131">
        <f t="shared" si="48"/>
        <v>13800</v>
      </c>
      <c r="O180" s="132">
        <f t="shared" si="49"/>
        <v>0.47826086956521741</v>
      </c>
      <c r="P180" s="73">
        <v>2800</v>
      </c>
      <c r="Q180" s="56">
        <f t="shared" si="54"/>
        <v>83</v>
      </c>
      <c r="R180" s="49">
        <f t="shared" si="55"/>
        <v>2717</v>
      </c>
      <c r="S180" s="55"/>
      <c r="T180" s="56">
        <v>880</v>
      </c>
      <c r="U180" s="56">
        <f t="shared" si="52"/>
        <v>17.600000000000001</v>
      </c>
      <c r="V180" s="73">
        <f t="shared" si="53"/>
        <v>1716.0000000000002</v>
      </c>
      <c r="W180" s="56">
        <v>121</v>
      </c>
      <c r="X180" s="56"/>
      <c r="AK180" s="161"/>
      <c r="AN180" s="161"/>
      <c r="AR180" s="164"/>
    </row>
    <row r="181" spans="1:44" x14ac:dyDescent="0.3">
      <c r="A181" s="291"/>
      <c r="B181" s="291"/>
      <c r="C181" s="292"/>
      <c r="D181" s="23" t="s">
        <v>277</v>
      </c>
      <c r="E181" s="77">
        <v>9810592000262</v>
      </c>
      <c r="F181" s="27">
        <v>50</v>
      </c>
      <c r="G181" s="16" t="s">
        <v>179</v>
      </c>
      <c r="H181" s="26" t="s">
        <v>70</v>
      </c>
      <c r="I181" s="28"/>
      <c r="J181" s="28"/>
      <c r="K181" s="67">
        <v>23000</v>
      </c>
      <c r="L181" s="131">
        <f t="shared" si="51"/>
        <v>4600</v>
      </c>
      <c r="M181" s="157">
        <f t="shared" si="47"/>
        <v>7.8260869565217397E-2</v>
      </c>
      <c r="N181" s="131">
        <f t="shared" si="48"/>
        <v>13800</v>
      </c>
      <c r="O181" s="132">
        <f t="shared" si="49"/>
        <v>0.47826086956521741</v>
      </c>
      <c r="P181" s="73">
        <v>2800</v>
      </c>
      <c r="Q181" s="56">
        <f t="shared" si="54"/>
        <v>193</v>
      </c>
      <c r="R181" s="49">
        <f t="shared" si="55"/>
        <v>2607</v>
      </c>
      <c r="S181" s="55"/>
      <c r="T181" s="56">
        <v>770</v>
      </c>
      <c r="U181" s="56">
        <f t="shared" si="52"/>
        <v>15.4</v>
      </c>
      <c r="V181" s="73">
        <f t="shared" si="53"/>
        <v>1716.0000000000002</v>
      </c>
      <c r="W181" s="56">
        <v>121</v>
      </c>
      <c r="X181" s="56"/>
      <c r="AK181" s="161"/>
      <c r="AN181" s="161"/>
      <c r="AR181" s="164"/>
    </row>
    <row r="182" spans="1:44" x14ac:dyDescent="0.3">
      <c r="A182" s="291"/>
      <c r="B182" s="291"/>
      <c r="C182" s="292"/>
      <c r="D182" s="23" t="s">
        <v>278</v>
      </c>
      <c r="E182" s="77">
        <v>9810592000261</v>
      </c>
      <c r="F182" s="27">
        <v>50</v>
      </c>
      <c r="G182" s="16" t="s">
        <v>179</v>
      </c>
      <c r="H182" s="26" t="s">
        <v>70</v>
      </c>
      <c r="I182" s="28"/>
      <c r="J182" s="28"/>
      <c r="K182" s="67">
        <v>23000</v>
      </c>
      <c r="L182" s="131">
        <f t="shared" si="51"/>
        <v>4600</v>
      </c>
      <c r="M182" s="157">
        <f t="shared" si="47"/>
        <v>7.8260869565217397E-2</v>
      </c>
      <c r="N182" s="131">
        <f t="shared" si="48"/>
        <v>13800</v>
      </c>
      <c r="O182" s="132">
        <f t="shared" si="49"/>
        <v>0.47826086956521741</v>
      </c>
      <c r="P182" s="73">
        <v>2800</v>
      </c>
      <c r="Q182" s="56">
        <f t="shared" si="54"/>
        <v>83</v>
      </c>
      <c r="R182" s="49">
        <f t="shared" si="55"/>
        <v>2717</v>
      </c>
      <c r="S182" s="55"/>
      <c r="T182" s="56">
        <v>880</v>
      </c>
      <c r="U182" s="56">
        <f t="shared" si="52"/>
        <v>17.600000000000001</v>
      </c>
      <c r="V182" s="73">
        <f t="shared" si="53"/>
        <v>1716.0000000000002</v>
      </c>
      <c r="W182" s="56">
        <v>121</v>
      </c>
      <c r="X182" s="56"/>
      <c r="AK182" s="161"/>
      <c r="AN182" s="161"/>
      <c r="AR182" s="164"/>
    </row>
    <row r="183" spans="1:44" x14ac:dyDescent="0.3">
      <c r="A183" s="291"/>
      <c r="B183" s="291"/>
      <c r="C183" s="292"/>
      <c r="D183" s="23" t="s">
        <v>279</v>
      </c>
      <c r="E183" s="77">
        <v>9810592000260</v>
      </c>
      <c r="F183" s="27">
        <v>50</v>
      </c>
      <c r="G183" s="16" t="s">
        <v>179</v>
      </c>
      <c r="H183" s="26" t="s">
        <v>70</v>
      </c>
      <c r="I183" s="28"/>
      <c r="J183" s="28"/>
      <c r="K183" s="67">
        <v>23000</v>
      </c>
      <c r="L183" s="131">
        <f t="shared" si="51"/>
        <v>4600</v>
      </c>
      <c r="M183" s="157">
        <f t="shared" si="47"/>
        <v>7.8260869565217397E-2</v>
      </c>
      <c r="N183" s="131">
        <f t="shared" si="48"/>
        <v>13800</v>
      </c>
      <c r="O183" s="132">
        <f t="shared" si="49"/>
        <v>0.47826086956521741</v>
      </c>
      <c r="P183" s="73">
        <v>2800</v>
      </c>
      <c r="Q183" s="56">
        <f t="shared" si="54"/>
        <v>83</v>
      </c>
      <c r="R183" s="49">
        <f t="shared" si="55"/>
        <v>2717</v>
      </c>
      <c r="S183" s="55"/>
      <c r="T183" s="56">
        <v>880</v>
      </c>
      <c r="U183" s="56">
        <f t="shared" si="52"/>
        <v>17.600000000000001</v>
      </c>
      <c r="V183" s="73">
        <f t="shared" si="53"/>
        <v>1716.0000000000002</v>
      </c>
      <c r="W183" s="56">
        <v>121</v>
      </c>
      <c r="X183" s="56"/>
      <c r="AK183" s="161"/>
      <c r="AN183" s="161"/>
      <c r="AR183" s="164"/>
    </row>
    <row r="184" spans="1:44" x14ac:dyDescent="0.3">
      <c r="A184" s="291"/>
      <c r="B184" s="291"/>
      <c r="C184" s="292" t="s">
        <v>288</v>
      </c>
      <c r="D184" s="23" t="s">
        <v>280</v>
      </c>
      <c r="E184" s="77">
        <v>9810592000294</v>
      </c>
      <c r="F184" s="27">
        <v>200</v>
      </c>
      <c r="G184" s="16" t="s">
        <v>179</v>
      </c>
      <c r="H184" s="26" t="s">
        <v>70</v>
      </c>
      <c r="I184" s="28"/>
      <c r="J184" s="28"/>
      <c r="K184" s="67">
        <v>12000</v>
      </c>
      <c r="L184" s="131">
        <f t="shared" si="51"/>
        <v>2400</v>
      </c>
      <c r="M184" s="157">
        <f t="shared" si="47"/>
        <v>5.8333333333333334E-2</v>
      </c>
      <c r="N184" s="131">
        <f t="shared" si="48"/>
        <v>7200</v>
      </c>
      <c r="O184" s="132">
        <f t="shared" si="49"/>
        <v>0.45833333333333331</v>
      </c>
      <c r="P184" s="51">
        <v>1700</v>
      </c>
      <c r="Q184" s="56">
        <f t="shared" si="54"/>
        <v>567</v>
      </c>
      <c r="R184" s="49">
        <f t="shared" si="55"/>
        <v>1133</v>
      </c>
      <c r="S184" s="55"/>
      <c r="T184" s="56">
        <v>693</v>
      </c>
      <c r="U184" s="56">
        <f t="shared" si="52"/>
        <v>3.4649999999999999</v>
      </c>
      <c r="V184" s="73">
        <v>440</v>
      </c>
      <c r="W184" s="75"/>
      <c r="X184" s="56"/>
      <c r="AK184" s="161"/>
      <c r="AN184" s="161"/>
      <c r="AR184" s="164"/>
    </row>
    <row r="185" spans="1:44" x14ac:dyDescent="0.3">
      <c r="A185" s="291"/>
      <c r="B185" s="291"/>
      <c r="C185" s="292"/>
      <c r="D185" s="23" t="s">
        <v>281</v>
      </c>
      <c r="E185" s="77">
        <v>9810592000293</v>
      </c>
      <c r="F185" s="27">
        <v>200</v>
      </c>
      <c r="G185" s="16" t="s">
        <v>179</v>
      </c>
      <c r="H185" s="26" t="s">
        <v>70</v>
      </c>
      <c r="I185" s="28"/>
      <c r="J185" s="28"/>
      <c r="K185" s="67">
        <v>12000</v>
      </c>
      <c r="L185" s="131">
        <f t="shared" si="51"/>
        <v>2400</v>
      </c>
      <c r="M185" s="157">
        <f t="shared" si="47"/>
        <v>5.8333333333333334E-2</v>
      </c>
      <c r="N185" s="131">
        <f t="shared" si="48"/>
        <v>7200</v>
      </c>
      <c r="O185" s="132">
        <f t="shared" si="49"/>
        <v>0.45833333333333331</v>
      </c>
      <c r="P185" s="51">
        <v>1700</v>
      </c>
      <c r="Q185" s="56">
        <f t="shared" si="54"/>
        <v>567</v>
      </c>
      <c r="R185" s="49">
        <f t="shared" si="55"/>
        <v>1133</v>
      </c>
      <c r="S185" s="55"/>
      <c r="T185" s="56">
        <v>693</v>
      </c>
      <c r="U185" s="56">
        <f t="shared" si="52"/>
        <v>3.4649999999999999</v>
      </c>
      <c r="V185" s="73">
        <v>440</v>
      </c>
      <c r="W185" s="75"/>
      <c r="X185" s="56"/>
      <c r="AK185" s="161"/>
      <c r="AN185" s="161"/>
      <c r="AR185" s="164"/>
    </row>
    <row r="186" spans="1:44" x14ac:dyDescent="0.3">
      <c r="A186" s="291"/>
      <c r="B186" s="291"/>
      <c r="C186" s="292"/>
      <c r="D186" s="23" t="s">
        <v>282</v>
      </c>
      <c r="E186" s="77">
        <v>9810592000292</v>
      </c>
      <c r="F186" s="27">
        <v>200</v>
      </c>
      <c r="G186" s="16" t="s">
        <v>179</v>
      </c>
      <c r="H186" s="26" t="s">
        <v>70</v>
      </c>
      <c r="I186" s="28"/>
      <c r="J186" s="28"/>
      <c r="K186" s="67">
        <v>12000</v>
      </c>
      <c r="L186" s="131">
        <f t="shared" si="51"/>
        <v>2400</v>
      </c>
      <c r="M186" s="157">
        <f t="shared" si="47"/>
        <v>5.8333333333333334E-2</v>
      </c>
      <c r="N186" s="131">
        <f t="shared" si="48"/>
        <v>7200</v>
      </c>
      <c r="O186" s="132">
        <f t="shared" si="49"/>
        <v>0.45833333333333331</v>
      </c>
      <c r="P186" s="51">
        <v>1700</v>
      </c>
      <c r="Q186" s="56">
        <f t="shared" si="54"/>
        <v>567</v>
      </c>
      <c r="R186" s="49">
        <f t="shared" si="55"/>
        <v>1133</v>
      </c>
      <c r="S186" s="55"/>
      <c r="T186" s="56">
        <v>693</v>
      </c>
      <c r="U186" s="56">
        <f t="shared" si="52"/>
        <v>3.4649999999999999</v>
      </c>
      <c r="V186" s="73">
        <v>440</v>
      </c>
      <c r="W186" s="75"/>
      <c r="X186" s="56"/>
      <c r="AK186" s="161"/>
      <c r="AN186" s="161"/>
      <c r="AR186" s="164"/>
    </row>
    <row r="187" spans="1:44" x14ac:dyDescent="0.3">
      <c r="A187" s="291"/>
      <c r="B187" s="291"/>
      <c r="C187" s="292"/>
      <c r="D187" s="23" t="s">
        <v>283</v>
      </c>
      <c r="E187" s="77">
        <v>9810592000291</v>
      </c>
      <c r="F187" s="27">
        <v>200</v>
      </c>
      <c r="G187" s="16" t="s">
        <v>179</v>
      </c>
      <c r="H187" s="26" t="s">
        <v>70</v>
      </c>
      <c r="I187" s="28"/>
      <c r="J187" s="28"/>
      <c r="K187" s="67">
        <v>12000</v>
      </c>
      <c r="L187" s="131">
        <f t="shared" si="51"/>
        <v>2400</v>
      </c>
      <c r="M187" s="157">
        <f t="shared" si="47"/>
        <v>5.8333333333333334E-2</v>
      </c>
      <c r="N187" s="131">
        <f t="shared" si="48"/>
        <v>7200</v>
      </c>
      <c r="O187" s="132">
        <f t="shared" si="49"/>
        <v>0.45833333333333331</v>
      </c>
      <c r="P187" s="51">
        <v>1700</v>
      </c>
      <c r="Q187" s="56">
        <f t="shared" si="54"/>
        <v>567</v>
      </c>
      <c r="R187" s="49">
        <f t="shared" si="55"/>
        <v>1133</v>
      </c>
      <c r="S187" s="55"/>
      <c r="T187" s="56">
        <v>693</v>
      </c>
      <c r="U187" s="56">
        <f t="shared" si="52"/>
        <v>3.4649999999999999</v>
      </c>
      <c r="V187" s="73">
        <v>440</v>
      </c>
      <c r="W187" s="75"/>
      <c r="X187" s="56"/>
      <c r="AK187" s="161"/>
      <c r="AN187" s="161"/>
      <c r="AR187" s="164"/>
    </row>
    <row r="188" spans="1:44" x14ac:dyDescent="0.3">
      <c r="A188" s="291"/>
      <c r="B188" s="291"/>
      <c r="C188" s="292"/>
      <c r="D188" s="23" t="s">
        <v>284</v>
      </c>
      <c r="E188" s="77">
        <v>9810592000290</v>
      </c>
      <c r="F188" s="27">
        <v>200</v>
      </c>
      <c r="G188" s="16" t="s">
        <v>179</v>
      </c>
      <c r="H188" s="26" t="s">
        <v>70</v>
      </c>
      <c r="I188" s="28"/>
      <c r="J188" s="28"/>
      <c r="K188" s="67">
        <v>12000</v>
      </c>
      <c r="L188" s="131">
        <f t="shared" si="51"/>
        <v>2400</v>
      </c>
      <c r="M188" s="157">
        <f t="shared" si="47"/>
        <v>5.8333333333333334E-2</v>
      </c>
      <c r="N188" s="131">
        <f t="shared" si="48"/>
        <v>7200</v>
      </c>
      <c r="O188" s="132">
        <f t="shared" si="49"/>
        <v>0.45833333333333331</v>
      </c>
      <c r="P188" s="51">
        <v>1700</v>
      </c>
      <c r="Q188" s="56">
        <f t="shared" si="54"/>
        <v>567</v>
      </c>
      <c r="R188" s="49">
        <f t="shared" si="55"/>
        <v>1133</v>
      </c>
      <c r="S188" s="55"/>
      <c r="T188" s="56">
        <v>693</v>
      </c>
      <c r="U188" s="56">
        <f t="shared" si="52"/>
        <v>3.4649999999999999</v>
      </c>
      <c r="V188" s="73">
        <v>440</v>
      </c>
      <c r="W188" s="75"/>
      <c r="X188" s="56"/>
      <c r="AK188" s="161"/>
      <c r="AN188" s="161"/>
      <c r="AR188" s="164"/>
    </row>
    <row r="189" spans="1:44" x14ac:dyDescent="0.3">
      <c r="A189" s="291"/>
      <c r="B189" s="291"/>
      <c r="C189" s="292"/>
      <c r="D189" s="23" t="s">
        <v>301</v>
      </c>
      <c r="E189" s="77">
        <v>9810592000282</v>
      </c>
      <c r="F189" s="27">
        <v>500</v>
      </c>
      <c r="G189" s="16" t="s">
        <v>179</v>
      </c>
      <c r="H189" s="26"/>
      <c r="I189" s="28"/>
      <c r="J189" s="28"/>
      <c r="K189" s="67">
        <v>12000</v>
      </c>
      <c r="L189" s="131">
        <f t="shared" si="51"/>
        <v>2400</v>
      </c>
      <c r="M189" s="157">
        <f t="shared" si="47"/>
        <v>3.3333333333333333E-2</v>
      </c>
      <c r="N189" s="131">
        <f t="shared" si="48"/>
        <v>7200</v>
      </c>
      <c r="O189" s="132">
        <f t="shared" si="49"/>
        <v>0.43333333333333335</v>
      </c>
      <c r="P189" s="51">
        <v>2000</v>
      </c>
      <c r="Q189" s="56"/>
      <c r="R189" s="49">
        <f t="shared" si="55"/>
        <v>1928.3</v>
      </c>
      <c r="S189" s="55"/>
      <c r="T189" s="56">
        <v>1430</v>
      </c>
      <c r="U189" s="56">
        <f t="shared" si="52"/>
        <v>2.86</v>
      </c>
      <c r="V189" s="73">
        <v>308</v>
      </c>
      <c r="W189" s="75"/>
      <c r="X189" s="56">
        <v>190.3</v>
      </c>
      <c r="AK189" s="161"/>
      <c r="AN189" s="161"/>
      <c r="AR189" s="164"/>
    </row>
    <row r="190" spans="1:44" x14ac:dyDescent="0.3">
      <c r="A190" s="291"/>
      <c r="B190" s="291"/>
      <c r="C190" s="292"/>
      <c r="D190" s="23" t="s">
        <v>302</v>
      </c>
      <c r="E190" s="77">
        <v>9810592000278</v>
      </c>
      <c r="F190" s="27">
        <v>500</v>
      </c>
      <c r="G190" s="16" t="s">
        <v>179</v>
      </c>
      <c r="H190" s="26"/>
      <c r="I190" s="28"/>
      <c r="J190" s="28"/>
      <c r="K190" s="67">
        <v>12000</v>
      </c>
      <c r="L190" s="131">
        <f t="shared" si="51"/>
        <v>2400</v>
      </c>
      <c r="M190" s="157">
        <f t="shared" si="47"/>
        <v>3.3333333333333333E-2</v>
      </c>
      <c r="N190" s="131">
        <f t="shared" si="48"/>
        <v>7200</v>
      </c>
      <c r="O190" s="132">
        <f t="shared" si="49"/>
        <v>0.43333333333333335</v>
      </c>
      <c r="P190" s="51">
        <v>2000</v>
      </c>
      <c r="Q190" s="56"/>
      <c r="R190" s="49">
        <f t="shared" si="55"/>
        <v>1928.3</v>
      </c>
      <c r="S190" s="55"/>
      <c r="T190" s="56">
        <v>1430</v>
      </c>
      <c r="U190" s="56">
        <f t="shared" si="52"/>
        <v>2.86</v>
      </c>
      <c r="V190" s="73">
        <v>308</v>
      </c>
      <c r="W190" s="75"/>
      <c r="X190" s="56">
        <v>190.3</v>
      </c>
      <c r="AK190" s="161"/>
      <c r="AN190" s="161"/>
      <c r="AR190" s="164"/>
    </row>
    <row r="191" spans="1:44" x14ac:dyDescent="0.3">
      <c r="A191" s="291"/>
      <c r="B191" s="291"/>
      <c r="C191" s="292"/>
      <c r="D191" s="23" t="s">
        <v>303</v>
      </c>
      <c r="E191" s="77">
        <v>9810592000276</v>
      </c>
      <c r="F191" s="27">
        <v>500</v>
      </c>
      <c r="G191" s="16" t="s">
        <v>179</v>
      </c>
      <c r="H191" s="26"/>
      <c r="I191" s="28"/>
      <c r="J191" s="28"/>
      <c r="K191" s="67">
        <v>12000</v>
      </c>
      <c r="L191" s="131">
        <f t="shared" si="51"/>
        <v>2400</v>
      </c>
      <c r="M191" s="157">
        <f t="shared" si="47"/>
        <v>3.3333333333333333E-2</v>
      </c>
      <c r="N191" s="131">
        <f t="shared" si="48"/>
        <v>7200</v>
      </c>
      <c r="O191" s="132">
        <f t="shared" si="49"/>
        <v>0.43333333333333335</v>
      </c>
      <c r="P191" s="51">
        <v>2000</v>
      </c>
      <c r="Q191" s="56"/>
      <c r="R191" s="49">
        <f t="shared" si="55"/>
        <v>1928.3</v>
      </c>
      <c r="S191" s="55"/>
      <c r="T191" s="56">
        <v>1430</v>
      </c>
      <c r="U191" s="56">
        <f t="shared" si="52"/>
        <v>2.86</v>
      </c>
      <c r="V191" s="73">
        <v>308</v>
      </c>
      <c r="W191" s="75"/>
      <c r="X191" s="56">
        <v>190.3</v>
      </c>
      <c r="AK191" s="161"/>
      <c r="AN191" s="161"/>
      <c r="AR191" s="164"/>
    </row>
    <row r="192" spans="1:44" x14ac:dyDescent="0.3">
      <c r="A192" s="291"/>
      <c r="B192" s="291"/>
      <c r="C192" s="292"/>
      <c r="D192" s="23" t="s">
        <v>304</v>
      </c>
      <c r="E192" s="77">
        <v>9810592000275</v>
      </c>
      <c r="F192" s="27">
        <v>500</v>
      </c>
      <c r="G192" s="16" t="s">
        <v>179</v>
      </c>
      <c r="H192" s="26"/>
      <c r="I192" s="28"/>
      <c r="J192" s="28"/>
      <c r="K192" s="67">
        <v>12000</v>
      </c>
      <c r="L192" s="131">
        <f t="shared" si="51"/>
        <v>2400</v>
      </c>
      <c r="M192" s="157">
        <f t="shared" si="47"/>
        <v>3.3333333333333333E-2</v>
      </c>
      <c r="N192" s="131">
        <f t="shared" si="48"/>
        <v>7200</v>
      </c>
      <c r="O192" s="132">
        <f t="shared" si="49"/>
        <v>0.43333333333333335</v>
      </c>
      <c r="P192" s="51">
        <v>2000</v>
      </c>
      <c r="Q192" s="56"/>
      <c r="R192" s="49">
        <f t="shared" si="55"/>
        <v>1928.3</v>
      </c>
      <c r="S192" s="55"/>
      <c r="T192" s="56">
        <v>1430</v>
      </c>
      <c r="U192" s="56">
        <f t="shared" si="52"/>
        <v>2.86</v>
      </c>
      <c r="V192" s="73">
        <v>308</v>
      </c>
      <c r="W192" s="75"/>
      <c r="X192" s="56">
        <v>190.3</v>
      </c>
      <c r="AK192" s="161"/>
      <c r="AN192" s="161"/>
      <c r="AR192" s="164"/>
    </row>
    <row r="193" spans="1:44" x14ac:dyDescent="0.3">
      <c r="A193" s="291"/>
      <c r="B193" s="291"/>
      <c r="C193" s="292"/>
      <c r="D193" s="23" t="s">
        <v>305</v>
      </c>
      <c r="E193" s="77">
        <v>9810592000289</v>
      </c>
      <c r="F193" s="27">
        <v>500</v>
      </c>
      <c r="G193" s="16" t="s">
        <v>179</v>
      </c>
      <c r="H193" s="26"/>
      <c r="I193" s="28"/>
      <c r="J193" s="28"/>
      <c r="K193" s="67">
        <v>12000</v>
      </c>
      <c r="L193" s="131">
        <f t="shared" si="51"/>
        <v>2400</v>
      </c>
      <c r="M193" s="157">
        <f t="shared" si="47"/>
        <v>3.3333333333333333E-2</v>
      </c>
      <c r="N193" s="131">
        <f t="shared" si="48"/>
        <v>7200</v>
      </c>
      <c r="O193" s="132">
        <f t="shared" si="49"/>
        <v>0.43333333333333335</v>
      </c>
      <c r="P193" s="51">
        <v>2000</v>
      </c>
      <c r="Q193" s="56"/>
      <c r="R193" s="49">
        <f t="shared" si="55"/>
        <v>1928.3</v>
      </c>
      <c r="S193" s="55"/>
      <c r="T193" s="56">
        <v>1430</v>
      </c>
      <c r="U193" s="56">
        <f t="shared" si="52"/>
        <v>2.86</v>
      </c>
      <c r="V193" s="73">
        <v>308</v>
      </c>
      <c r="W193" s="75"/>
      <c r="X193" s="56">
        <v>190.3</v>
      </c>
      <c r="AK193" s="161"/>
      <c r="AN193" s="161"/>
      <c r="AR193" s="164"/>
    </row>
    <row r="194" spans="1:44" x14ac:dyDescent="0.3">
      <c r="A194" s="291"/>
      <c r="B194" s="291"/>
      <c r="C194" s="292" t="s">
        <v>289</v>
      </c>
      <c r="D194" s="23" t="s">
        <v>290</v>
      </c>
      <c r="E194" s="77">
        <v>9810592000271</v>
      </c>
      <c r="F194" s="27">
        <v>300</v>
      </c>
      <c r="G194" s="16" t="s">
        <v>179</v>
      </c>
      <c r="H194" s="26" t="s">
        <v>70</v>
      </c>
      <c r="I194" s="28"/>
      <c r="J194" s="28"/>
      <c r="K194" s="67">
        <v>17000</v>
      </c>
      <c r="L194" s="131">
        <f t="shared" si="51"/>
        <v>3400</v>
      </c>
      <c r="M194" s="157">
        <f t="shared" si="47"/>
        <v>7.6470588235294124E-2</v>
      </c>
      <c r="N194" s="131">
        <f t="shared" si="48"/>
        <v>10200</v>
      </c>
      <c r="O194" s="132">
        <f t="shared" si="49"/>
        <v>0.47647058823529409</v>
      </c>
      <c r="P194" s="51">
        <v>2100</v>
      </c>
      <c r="Q194" s="56">
        <f t="shared" si="54"/>
        <v>287</v>
      </c>
      <c r="R194" s="49">
        <f t="shared" si="55"/>
        <v>1813</v>
      </c>
      <c r="S194" s="55"/>
      <c r="T194" s="56">
        <v>1045</v>
      </c>
      <c r="U194" s="56">
        <f t="shared" si="52"/>
        <v>3.4833333333333334</v>
      </c>
      <c r="V194" s="73">
        <v>550</v>
      </c>
      <c r="W194" s="75"/>
      <c r="X194" s="56">
        <v>218</v>
      </c>
      <c r="AK194" s="161"/>
      <c r="AN194" s="161"/>
      <c r="AR194" s="164"/>
    </row>
    <row r="195" spans="1:44" x14ac:dyDescent="0.3">
      <c r="A195" s="291"/>
      <c r="B195" s="291"/>
      <c r="C195" s="292"/>
      <c r="D195" s="23" t="s">
        <v>291</v>
      </c>
      <c r="E195" s="77">
        <v>9810592000270</v>
      </c>
      <c r="F195" s="27">
        <v>300</v>
      </c>
      <c r="G195" s="16" t="s">
        <v>179</v>
      </c>
      <c r="H195" s="26" t="s">
        <v>70</v>
      </c>
      <c r="I195" s="28"/>
      <c r="J195" s="28"/>
      <c r="K195" s="67">
        <v>17000</v>
      </c>
      <c r="L195" s="131">
        <f t="shared" si="51"/>
        <v>3400</v>
      </c>
      <c r="M195" s="157">
        <f t="shared" si="47"/>
        <v>7.6470588235294124E-2</v>
      </c>
      <c r="N195" s="131">
        <f t="shared" si="48"/>
        <v>10200</v>
      </c>
      <c r="O195" s="132">
        <f t="shared" si="49"/>
        <v>0.47647058823529409</v>
      </c>
      <c r="P195" s="51">
        <v>2100</v>
      </c>
      <c r="Q195" s="56">
        <f t="shared" si="54"/>
        <v>287</v>
      </c>
      <c r="R195" s="49">
        <f t="shared" si="55"/>
        <v>1813</v>
      </c>
      <c r="S195" s="55"/>
      <c r="T195" s="56">
        <v>1045</v>
      </c>
      <c r="U195" s="56">
        <f t="shared" si="52"/>
        <v>3.4833333333333334</v>
      </c>
      <c r="V195" s="73">
        <v>550</v>
      </c>
      <c r="W195" s="75"/>
      <c r="X195" s="56">
        <v>218</v>
      </c>
      <c r="AK195" s="161"/>
      <c r="AN195" s="161"/>
      <c r="AR195" s="164"/>
    </row>
    <row r="196" spans="1:44" x14ac:dyDescent="0.3">
      <c r="A196" s="291"/>
      <c r="B196" s="291"/>
      <c r="C196" s="292"/>
      <c r="D196" s="23" t="s">
        <v>292</v>
      </c>
      <c r="E196" s="77">
        <v>9810592000269</v>
      </c>
      <c r="F196" s="27">
        <v>300</v>
      </c>
      <c r="G196" s="16" t="s">
        <v>179</v>
      </c>
      <c r="H196" s="26" t="s">
        <v>70</v>
      </c>
      <c r="I196" s="28"/>
      <c r="J196" s="28"/>
      <c r="K196" s="67">
        <v>17000</v>
      </c>
      <c r="L196" s="131">
        <f t="shared" si="51"/>
        <v>3400</v>
      </c>
      <c r="M196" s="157">
        <f t="shared" si="47"/>
        <v>7.6470588235294124E-2</v>
      </c>
      <c r="N196" s="131">
        <f t="shared" si="48"/>
        <v>10200</v>
      </c>
      <c r="O196" s="132">
        <f t="shared" si="49"/>
        <v>0.47647058823529409</v>
      </c>
      <c r="P196" s="51">
        <v>2100</v>
      </c>
      <c r="Q196" s="56">
        <f t="shared" si="54"/>
        <v>287</v>
      </c>
      <c r="R196" s="49">
        <f t="shared" si="55"/>
        <v>1813</v>
      </c>
      <c r="S196" s="55"/>
      <c r="T196" s="56">
        <v>1045</v>
      </c>
      <c r="U196" s="56">
        <f t="shared" si="52"/>
        <v>3.4833333333333334</v>
      </c>
      <c r="V196" s="73">
        <v>550</v>
      </c>
      <c r="W196" s="75"/>
      <c r="X196" s="56">
        <v>218</v>
      </c>
      <c r="AK196" s="161"/>
      <c r="AN196" s="161"/>
      <c r="AR196" s="164"/>
    </row>
    <row r="197" spans="1:44" x14ac:dyDescent="0.3">
      <c r="A197" s="291"/>
      <c r="B197" s="291"/>
      <c r="C197" s="292"/>
      <c r="D197" s="23" t="s">
        <v>293</v>
      </c>
      <c r="E197" s="77">
        <v>9810592000268</v>
      </c>
      <c r="F197" s="27">
        <v>300</v>
      </c>
      <c r="G197" s="16" t="s">
        <v>179</v>
      </c>
      <c r="H197" s="26" t="s">
        <v>70</v>
      </c>
      <c r="I197" s="28"/>
      <c r="J197" s="28"/>
      <c r="K197" s="67">
        <v>17000</v>
      </c>
      <c r="L197" s="131">
        <f t="shared" si="51"/>
        <v>3400</v>
      </c>
      <c r="M197" s="157">
        <f t="shared" si="47"/>
        <v>7.6470588235294124E-2</v>
      </c>
      <c r="N197" s="131">
        <f t="shared" si="48"/>
        <v>10200</v>
      </c>
      <c r="O197" s="132">
        <f t="shared" si="49"/>
        <v>0.47647058823529409</v>
      </c>
      <c r="P197" s="51">
        <v>2100</v>
      </c>
      <c r="Q197" s="56">
        <f t="shared" si="54"/>
        <v>287</v>
      </c>
      <c r="R197" s="49">
        <f t="shared" si="55"/>
        <v>1813</v>
      </c>
      <c r="S197" s="55"/>
      <c r="T197" s="56">
        <v>1045</v>
      </c>
      <c r="U197" s="56">
        <f t="shared" si="52"/>
        <v>3.4833333333333334</v>
      </c>
      <c r="V197" s="73">
        <v>550</v>
      </c>
      <c r="W197" s="75"/>
      <c r="X197" s="56">
        <v>218</v>
      </c>
      <c r="AK197" s="161"/>
      <c r="AN197" s="161"/>
      <c r="AR197" s="164"/>
    </row>
    <row r="198" spans="1:44" x14ac:dyDescent="0.3">
      <c r="A198" s="291"/>
      <c r="B198" s="291"/>
      <c r="C198" s="292"/>
      <c r="D198" s="23" t="s">
        <v>294</v>
      </c>
      <c r="E198" s="77">
        <v>9810592000267</v>
      </c>
      <c r="F198" s="27">
        <v>300</v>
      </c>
      <c r="G198" s="16" t="s">
        <v>179</v>
      </c>
      <c r="H198" s="26" t="s">
        <v>70</v>
      </c>
      <c r="I198" s="28"/>
      <c r="J198" s="28"/>
      <c r="K198" s="67">
        <v>17000</v>
      </c>
      <c r="L198" s="131">
        <f t="shared" si="51"/>
        <v>3400</v>
      </c>
      <c r="M198" s="157">
        <f t="shared" si="47"/>
        <v>7.6470588235294124E-2</v>
      </c>
      <c r="N198" s="131">
        <f t="shared" si="48"/>
        <v>10200</v>
      </c>
      <c r="O198" s="132">
        <f t="shared" si="49"/>
        <v>0.47647058823529409</v>
      </c>
      <c r="P198" s="51">
        <v>2100</v>
      </c>
      <c r="Q198" s="56">
        <f t="shared" si="54"/>
        <v>287</v>
      </c>
      <c r="R198" s="49">
        <f t="shared" si="55"/>
        <v>1813</v>
      </c>
      <c r="S198" s="55"/>
      <c r="T198" s="56">
        <v>1045</v>
      </c>
      <c r="U198" s="56">
        <f t="shared" si="52"/>
        <v>3.4833333333333334</v>
      </c>
      <c r="V198" s="73">
        <v>550</v>
      </c>
      <c r="W198" s="75"/>
      <c r="X198" s="56">
        <v>218</v>
      </c>
      <c r="AK198" s="161"/>
      <c r="AN198" s="161"/>
      <c r="AR198" s="164"/>
    </row>
    <row r="199" spans="1:44" x14ac:dyDescent="0.3">
      <c r="A199" s="114"/>
      <c r="B199" s="135"/>
      <c r="C199" s="136"/>
      <c r="D199" s="137"/>
      <c r="E199" s="138"/>
      <c r="F199" s="139"/>
      <c r="G199" s="140" t="s">
        <v>82</v>
      </c>
      <c r="H199" s="141"/>
      <c r="I199" s="141"/>
      <c r="J199" s="141"/>
      <c r="K199" s="142"/>
      <c r="P199" s="143"/>
      <c r="Q199" s="144">
        <f t="shared" si="54"/>
        <v>0</v>
      </c>
      <c r="R199" s="145">
        <f t="shared" si="55"/>
        <v>0</v>
      </c>
      <c r="S199" s="146"/>
      <c r="T199" s="144"/>
      <c r="U199" s="144"/>
      <c r="V199" s="147"/>
      <c r="W199" s="148"/>
      <c r="X199" s="144"/>
      <c r="AK199" s="161"/>
      <c r="AN199" s="161"/>
      <c r="AR199" s="164"/>
    </row>
    <row r="200" spans="1:44" x14ac:dyDescent="0.3">
      <c r="A200" s="37"/>
      <c r="B200" s="37"/>
      <c r="C200" s="59"/>
      <c r="D200" s="1"/>
      <c r="E200" s="1"/>
      <c r="F200" s="13"/>
      <c r="G200" s="14"/>
      <c r="H200" s="21"/>
      <c r="I200" s="21"/>
      <c r="J200" s="21"/>
      <c r="R200" s="30"/>
    </row>
    <row r="201" spans="1:44" x14ac:dyDescent="0.3">
      <c r="A201" s="37"/>
      <c r="B201" s="37"/>
      <c r="C201" s="59"/>
      <c r="D201" s="1"/>
      <c r="E201" s="1"/>
      <c r="F201" s="13"/>
      <c r="G201" s="14"/>
      <c r="H201" s="21"/>
      <c r="I201" s="21"/>
      <c r="J201" s="21"/>
      <c r="R201" s="30"/>
    </row>
    <row r="202" spans="1:44" x14ac:dyDescent="0.3">
      <c r="A202" s="37"/>
      <c r="B202" s="37"/>
      <c r="C202" s="59"/>
      <c r="D202" s="1"/>
      <c r="E202" s="1"/>
      <c r="F202" s="13"/>
      <c r="G202" s="14"/>
      <c r="H202" s="21"/>
      <c r="I202" s="21"/>
      <c r="J202" s="21"/>
      <c r="R202" s="30"/>
    </row>
    <row r="203" spans="1:44" x14ac:dyDescent="0.3">
      <c r="A203" s="37"/>
      <c r="B203" s="37"/>
      <c r="C203" s="59"/>
      <c r="D203" s="1"/>
      <c r="E203" s="1"/>
      <c r="F203" s="13"/>
      <c r="G203" s="14"/>
      <c r="H203" s="21"/>
      <c r="I203" s="21"/>
      <c r="J203" s="21"/>
      <c r="R203" s="30"/>
    </row>
    <row r="204" spans="1:44" x14ac:dyDescent="0.3">
      <c r="A204" s="37"/>
      <c r="B204" s="37"/>
      <c r="C204" s="59"/>
      <c r="D204" s="1"/>
      <c r="E204" s="1"/>
      <c r="F204" s="13"/>
      <c r="G204" s="14"/>
      <c r="H204" s="21"/>
      <c r="I204" s="21"/>
      <c r="J204" s="21"/>
      <c r="R204" s="30"/>
    </row>
    <row r="205" spans="1:44" x14ac:dyDescent="0.3">
      <c r="A205" s="37"/>
      <c r="B205" s="37"/>
      <c r="C205" s="59"/>
      <c r="D205" s="1"/>
      <c r="E205" s="1"/>
      <c r="F205" s="13"/>
      <c r="G205" s="14"/>
      <c r="H205" s="21"/>
      <c r="I205" s="21"/>
      <c r="J205" s="21"/>
      <c r="R205" s="30"/>
    </row>
    <row r="206" spans="1:44" x14ac:dyDescent="0.3">
      <c r="A206" s="37"/>
      <c r="B206" s="37"/>
      <c r="C206" s="59"/>
      <c r="D206" s="1"/>
      <c r="E206" s="1"/>
      <c r="F206" s="13"/>
      <c r="G206" s="14"/>
      <c r="H206" s="21"/>
      <c r="I206" s="21"/>
      <c r="J206" s="21"/>
      <c r="R206" s="30"/>
    </row>
    <row r="207" spans="1:44" x14ac:dyDescent="0.3">
      <c r="A207" s="37"/>
      <c r="B207" s="37"/>
      <c r="C207" s="59"/>
      <c r="D207" s="1"/>
      <c r="E207" s="1"/>
      <c r="F207" s="13"/>
      <c r="G207" s="14"/>
      <c r="H207" s="21"/>
      <c r="I207" s="21"/>
      <c r="J207" s="21"/>
      <c r="R207" s="30"/>
    </row>
    <row r="208" spans="1:44" x14ac:dyDescent="0.3">
      <c r="A208" s="37"/>
      <c r="B208" s="37"/>
      <c r="C208" s="59"/>
      <c r="D208" s="1"/>
      <c r="E208" s="1"/>
      <c r="F208" s="13"/>
      <c r="G208" s="14"/>
      <c r="H208" s="21"/>
      <c r="I208" s="21"/>
      <c r="J208" s="21"/>
      <c r="R208" s="30"/>
    </row>
    <row r="209" spans="1:18" x14ac:dyDescent="0.3">
      <c r="A209" s="37"/>
      <c r="B209" s="37"/>
      <c r="C209" s="59"/>
      <c r="D209" s="1"/>
      <c r="E209" s="1"/>
      <c r="F209" s="13"/>
      <c r="G209" s="14"/>
      <c r="H209" s="21"/>
      <c r="I209" s="21"/>
      <c r="J209" s="21"/>
      <c r="R209" s="30"/>
    </row>
    <row r="210" spans="1:18" x14ac:dyDescent="0.3">
      <c r="A210" s="37"/>
      <c r="B210" s="37"/>
      <c r="C210" s="59"/>
      <c r="D210" s="1"/>
      <c r="E210" s="1"/>
      <c r="F210" s="13"/>
      <c r="G210" s="14"/>
      <c r="H210" s="21"/>
      <c r="I210" s="21"/>
      <c r="J210" s="21"/>
      <c r="R210" s="30"/>
    </row>
    <row r="211" spans="1:18" x14ac:dyDescent="0.3">
      <c r="A211" s="37"/>
      <c r="B211" s="37"/>
      <c r="C211" s="59"/>
      <c r="D211" s="1"/>
      <c r="E211" s="1"/>
      <c r="F211" s="13"/>
      <c r="G211" s="14"/>
      <c r="H211" s="21"/>
      <c r="I211" s="21"/>
      <c r="J211" s="21"/>
      <c r="R211" s="30"/>
    </row>
    <row r="212" spans="1:18" x14ac:dyDescent="0.3">
      <c r="A212" s="37"/>
      <c r="B212" s="37"/>
      <c r="C212" s="59"/>
      <c r="D212" s="1"/>
      <c r="E212" s="1"/>
      <c r="F212" s="13"/>
      <c r="G212" s="14"/>
      <c r="H212" s="21"/>
      <c r="I212" s="21"/>
      <c r="J212" s="21"/>
      <c r="R212" s="30"/>
    </row>
    <row r="213" spans="1:18" x14ac:dyDescent="0.3">
      <c r="A213" s="37"/>
      <c r="B213" s="37"/>
      <c r="C213" s="59"/>
      <c r="D213" s="1"/>
      <c r="E213" s="1"/>
      <c r="F213" s="13"/>
      <c r="G213" s="14"/>
      <c r="H213" s="21"/>
      <c r="I213" s="21"/>
      <c r="J213" s="21"/>
      <c r="R213" s="30"/>
    </row>
    <row r="214" spans="1:18" x14ac:dyDescent="0.3">
      <c r="A214" s="37"/>
      <c r="B214" s="37"/>
      <c r="C214" s="59"/>
      <c r="D214" s="1"/>
      <c r="E214" s="1"/>
      <c r="F214" s="13"/>
      <c r="G214" s="14"/>
      <c r="H214" s="21"/>
      <c r="I214" s="21"/>
      <c r="J214" s="21"/>
      <c r="R214" s="30"/>
    </row>
    <row r="215" spans="1:18" x14ac:dyDescent="0.3">
      <c r="A215" s="37"/>
      <c r="B215" s="37"/>
      <c r="C215" s="59"/>
      <c r="D215" s="1"/>
      <c r="E215" s="1"/>
      <c r="F215" s="13"/>
      <c r="G215" s="14"/>
      <c r="H215" s="21"/>
      <c r="I215" s="21"/>
      <c r="J215" s="21"/>
      <c r="R215" s="30"/>
    </row>
    <row r="216" spans="1:18" x14ac:dyDescent="0.3">
      <c r="A216" s="37"/>
      <c r="B216" s="37"/>
      <c r="C216" s="59"/>
      <c r="D216" s="1"/>
      <c r="E216" s="1"/>
      <c r="F216" s="13"/>
      <c r="G216" s="14"/>
      <c r="H216" s="21"/>
      <c r="I216" s="21"/>
      <c r="J216" s="21"/>
      <c r="R216" s="30"/>
    </row>
    <row r="217" spans="1:18" x14ac:dyDescent="0.3">
      <c r="A217" s="37"/>
      <c r="B217" s="37"/>
      <c r="C217" s="59"/>
      <c r="D217" s="1"/>
      <c r="E217" s="1"/>
      <c r="F217" s="13"/>
      <c r="G217" s="14"/>
      <c r="H217" s="21"/>
      <c r="I217" s="21"/>
      <c r="J217" s="21"/>
      <c r="R217" s="30"/>
    </row>
    <row r="218" spans="1:18" x14ac:dyDescent="0.3">
      <c r="A218" s="37"/>
      <c r="B218" s="37"/>
      <c r="C218" s="59"/>
      <c r="D218" s="1"/>
      <c r="E218" s="1"/>
      <c r="F218" s="13"/>
      <c r="G218" s="14"/>
      <c r="H218" s="21"/>
      <c r="I218" s="21"/>
      <c r="J218" s="21"/>
      <c r="R218" s="30"/>
    </row>
    <row r="219" spans="1:18" x14ac:dyDescent="0.3">
      <c r="A219" s="37"/>
      <c r="B219" s="37"/>
      <c r="C219" s="59"/>
      <c r="D219" s="1"/>
      <c r="E219" s="1"/>
      <c r="F219" s="13"/>
      <c r="G219" s="14"/>
      <c r="H219" s="21"/>
      <c r="I219" s="21"/>
      <c r="J219" s="21"/>
      <c r="R219" s="30"/>
    </row>
    <row r="220" spans="1:18" x14ac:dyDescent="0.3">
      <c r="A220" s="37"/>
      <c r="B220" s="37"/>
      <c r="C220" s="59"/>
      <c r="D220" s="1"/>
      <c r="E220" s="1"/>
      <c r="F220" s="13"/>
      <c r="G220" s="14"/>
      <c r="H220" s="21"/>
      <c r="I220" s="21"/>
      <c r="J220" s="21"/>
      <c r="R220" s="30"/>
    </row>
    <row r="221" spans="1:18" x14ac:dyDescent="0.3">
      <c r="A221" s="37"/>
      <c r="B221" s="37"/>
      <c r="C221" s="59"/>
      <c r="D221" s="1"/>
      <c r="E221" s="1"/>
      <c r="F221" s="13"/>
      <c r="G221" s="14"/>
      <c r="H221" s="21"/>
      <c r="I221" s="21"/>
      <c r="J221" s="21"/>
      <c r="R221" s="30"/>
    </row>
    <row r="222" spans="1:18" x14ac:dyDescent="0.3">
      <c r="A222" s="37"/>
      <c r="B222" s="37"/>
      <c r="C222" s="59"/>
      <c r="D222" s="1"/>
      <c r="E222" s="1"/>
      <c r="F222" s="13"/>
      <c r="G222" s="14"/>
      <c r="H222" s="21"/>
      <c r="I222" s="21"/>
      <c r="J222" s="21"/>
      <c r="R222" s="30"/>
    </row>
    <row r="223" spans="1:18" x14ac:dyDescent="0.3">
      <c r="A223" s="37"/>
      <c r="B223" s="37"/>
      <c r="C223" s="59"/>
      <c r="D223" s="1"/>
      <c r="E223" s="1"/>
      <c r="F223" s="13"/>
      <c r="G223" s="14"/>
      <c r="H223" s="21"/>
      <c r="I223" s="21"/>
      <c r="J223" s="21"/>
      <c r="R223" s="30"/>
    </row>
    <row r="224" spans="1:18" x14ac:dyDescent="0.3">
      <c r="A224" s="37"/>
      <c r="B224" s="37"/>
      <c r="C224" s="59"/>
      <c r="D224" s="1"/>
      <c r="E224" s="1"/>
      <c r="F224" s="13"/>
      <c r="G224" s="14"/>
      <c r="H224" s="21"/>
      <c r="I224" s="21"/>
      <c r="J224" s="21"/>
      <c r="R224" s="30"/>
    </row>
    <row r="225" spans="1:18" x14ac:dyDescent="0.3">
      <c r="A225" s="37"/>
      <c r="B225" s="37"/>
      <c r="C225" s="59"/>
      <c r="D225" s="1"/>
      <c r="E225" s="1"/>
      <c r="F225" s="13"/>
      <c r="G225" s="14"/>
      <c r="H225" s="21"/>
      <c r="I225" s="21"/>
      <c r="J225" s="21"/>
      <c r="R225" s="30"/>
    </row>
    <row r="226" spans="1:18" x14ac:dyDescent="0.3">
      <c r="A226" s="37"/>
      <c r="B226" s="37"/>
      <c r="C226" s="59"/>
      <c r="D226" s="1"/>
      <c r="E226" s="1"/>
      <c r="F226" s="13"/>
      <c r="G226" s="14"/>
      <c r="H226" s="21"/>
      <c r="I226" s="21"/>
      <c r="J226" s="21"/>
      <c r="R226" s="30"/>
    </row>
    <row r="227" spans="1:18" x14ac:dyDescent="0.3">
      <c r="A227" s="37"/>
      <c r="B227" s="37"/>
      <c r="C227" s="59"/>
      <c r="D227" s="1"/>
      <c r="E227" s="1"/>
      <c r="F227" s="13"/>
      <c r="G227" s="14"/>
      <c r="H227" s="21"/>
      <c r="I227" s="21"/>
      <c r="J227" s="21"/>
      <c r="R227" s="30"/>
    </row>
    <row r="228" spans="1:18" x14ac:dyDescent="0.3">
      <c r="A228" s="37"/>
      <c r="B228" s="37"/>
      <c r="C228" s="59"/>
      <c r="D228" s="1"/>
      <c r="E228" s="1"/>
      <c r="F228" s="13"/>
      <c r="G228" s="14"/>
      <c r="H228" s="21"/>
      <c r="I228" s="21"/>
      <c r="J228" s="21"/>
      <c r="R228" s="30"/>
    </row>
    <row r="229" spans="1:18" x14ac:dyDescent="0.3">
      <c r="A229" s="37"/>
      <c r="B229" s="37"/>
      <c r="C229" s="59"/>
      <c r="D229" s="1"/>
      <c r="E229" s="1"/>
      <c r="F229" s="13"/>
      <c r="G229" s="14"/>
      <c r="H229" s="21"/>
      <c r="I229" s="21"/>
      <c r="J229" s="21"/>
      <c r="R229" s="30"/>
    </row>
    <row r="230" spans="1:18" x14ac:dyDescent="0.3">
      <c r="A230" s="37"/>
      <c r="B230" s="37"/>
      <c r="C230" s="59"/>
      <c r="D230" s="1"/>
      <c r="E230" s="1"/>
      <c r="F230" s="13"/>
      <c r="G230" s="14"/>
      <c r="H230" s="21"/>
      <c r="I230" s="21"/>
      <c r="J230" s="21"/>
      <c r="R230" s="30"/>
    </row>
    <row r="231" spans="1:18" x14ac:dyDescent="0.3">
      <c r="A231" s="37"/>
      <c r="B231" s="37"/>
      <c r="C231" s="59"/>
      <c r="D231" s="1"/>
      <c r="E231" s="1"/>
      <c r="F231" s="13"/>
      <c r="G231" s="14"/>
      <c r="H231" s="21"/>
      <c r="I231" s="21"/>
      <c r="J231" s="21"/>
      <c r="R231" s="30"/>
    </row>
    <row r="232" spans="1:18" x14ac:dyDescent="0.3">
      <c r="A232" s="37"/>
      <c r="B232" s="37"/>
      <c r="C232" s="59"/>
      <c r="D232" s="1"/>
      <c r="E232" s="1"/>
      <c r="F232" s="13"/>
      <c r="G232" s="14"/>
      <c r="H232" s="21"/>
      <c r="I232" s="21"/>
      <c r="J232" s="21"/>
      <c r="R232" s="30"/>
    </row>
    <row r="233" spans="1:18" x14ac:dyDescent="0.3">
      <c r="A233" s="37"/>
      <c r="B233" s="37"/>
      <c r="C233" s="59"/>
      <c r="D233" s="1"/>
      <c r="E233" s="1"/>
      <c r="F233" s="13"/>
      <c r="G233" s="14"/>
      <c r="H233" s="21"/>
      <c r="I233" s="21"/>
      <c r="J233" s="21"/>
      <c r="R233" s="30"/>
    </row>
    <row r="234" spans="1:18" x14ac:dyDescent="0.3">
      <c r="A234" s="37"/>
      <c r="B234" s="37"/>
      <c r="C234" s="59"/>
      <c r="D234" s="1"/>
      <c r="E234" s="1"/>
      <c r="F234" s="13"/>
      <c r="G234" s="14"/>
      <c r="H234" s="21"/>
      <c r="I234" s="21"/>
      <c r="J234" s="21"/>
      <c r="R234" s="30"/>
    </row>
    <row r="235" spans="1:18" x14ac:dyDescent="0.3">
      <c r="A235" s="37"/>
      <c r="B235" s="37"/>
      <c r="C235" s="59"/>
      <c r="D235" s="1"/>
      <c r="E235" s="1"/>
      <c r="F235" s="13"/>
      <c r="G235" s="14"/>
      <c r="H235" s="21"/>
      <c r="I235" s="21"/>
      <c r="J235" s="21"/>
      <c r="R235" s="30"/>
    </row>
    <row r="236" spans="1:18" x14ac:dyDescent="0.3">
      <c r="A236" s="37"/>
      <c r="B236" s="37"/>
      <c r="C236" s="59"/>
      <c r="D236" s="1"/>
      <c r="E236" s="1"/>
      <c r="F236" s="13"/>
      <c r="G236" s="14"/>
      <c r="H236" s="21"/>
      <c r="I236" s="21"/>
      <c r="J236" s="21"/>
      <c r="R236" s="30"/>
    </row>
    <row r="237" spans="1:18" x14ac:dyDescent="0.3">
      <c r="A237" s="37"/>
      <c r="B237" s="37"/>
      <c r="C237" s="59"/>
      <c r="D237" s="1"/>
      <c r="E237" s="1"/>
      <c r="F237" s="13"/>
      <c r="G237" s="14"/>
      <c r="H237" s="21"/>
      <c r="I237" s="21"/>
      <c r="J237" s="21"/>
      <c r="R237" s="30"/>
    </row>
    <row r="238" spans="1:18" x14ac:dyDescent="0.3">
      <c r="A238" s="37"/>
      <c r="B238" s="37"/>
      <c r="C238" s="59"/>
      <c r="D238" s="1"/>
      <c r="E238" s="1"/>
      <c r="F238" s="13"/>
      <c r="G238" s="14"/>
      <c r="H238" s="21"/>
      <c r="I238" s="21"/>
      <c r="J238" s="21"/>
      <c r="R238" s="30"/>
    </row>
    <row r="239" spans="1:18" x14ac:dyDescent="0.3">
      <c r="A239" s="37"/>
      <c r="B239" s="37"/>
      <c r="C239" s="59"/>
      <c r="D239" s="1"/>
      <c r="E239" s="1"/>
      <c r="F239" s="13"/>
      <c r="G239" s="14"/>
      <c r="H239" s="21"/>
      <c r="I239" s="21"/>
      <c r="J239" s="21"/>
      <c r="R239" s="30"/>
    </row>
    <row r="240" spans="1:18" x14ac:dyDescent="0.3">
      <c r="A240" s="37"/>
      <c r="B240" s="37"/>
      <c r="C240" s="59"/>
      <c r="D240" s="1"/>
      <c r="E240" s="1"/>
      <c r="F240" s="13"/>
      <c r="G240" s="14"/>
      <c r="H240" s="21"/>
      <c r="I240" s="21"/>
      <c r="J240" s="21"/>
      <c r="R240" s="30"/>
    </row>
    <row r="241" spans="1:18" x14ac:dyDescent="0.3">
      <c r="A241" s="37"/>
      <c r="B241" s="37"/>
      <c r="C241" s="59"/>
      <c r="D241" s="1"/>
      <c r="E241" s="1"/>
      <c r="F241" s="13"/>
      <c r="G241" s="14"/>
      <c r="H241" s="21"/>
      <c r="I241" s="21"/>
      <c r="J241" s="21"/>
      <c r="R241" s="30"/>
    </row>
    <row r="242" spans="1:18" x14ac:dyDescent="0.3">
      <c r="A242" s="37"/>
      <c r="B242" s="37"/>
      <c r="C242" s="59"/>
      <c r="D242" s="1"/>
      <c r="E242" s="1"/>
      <c r="F242" s="13"/>
      <c r="G242" s="14"/>
      <c r="H242" s="21"/>
      <c r="I242" s="21"/>
      <c r="J242" s="21"/>
      <c r="R242" s="30"/>
    </row>
    <row r="243" spans="1:18" x14ac:dyDescent="0.3">
      <c r="A243" s="37"/>
      <c r="B243" s="37"/>
      <c r="C243" s="59"/>
      <c r="D243" s="1"/>
      <c r="E243" s="1"/>
      <c r="F243" s="13"/>
      <c r="G243" s="14"/>
      <c r="H243" s="21"/>
      <c r="I243" s="21"/>
      <c r="J243" s="21"/>
      <c r="R243" s="30"/>
    </row>
    <row r="244" spans="1:18" x14ac:dyDescent="0.3">
      <c r="A244" s="37"/>
      <c r="B244" s="37"/>
      <c r="C244" s="59"/>
      <c r="D244" s="1"/>
      <c r="E244" s="1"/>
      <c r="F244" s="13"/>
      <c r="G244" s="14"/>
      <c r="H244" s="21"/>
      <c r="I244" s="21"/>
      <c r="J244" s="21"/>
      <c r="R244" s="30"/>
    </row>
    <row r="245" spans="1:18" x14ac:dyDescent="0.3">
      <c r="A245" s="37"/>
      <c r="B245" s="37"/>
      <c r="C245" s="59"/>
      <c r="D245" s="1"/>
      <c r="E245" s="1"/>
      <c r="F245" s="13"/>
      <c r="G245" s="14"/>
      <c r="H245" s="21"/>
      <c r="I245" s="21"/>
      <c r="J245" s="21"/>
      <c r="R245" s="30"/>
    </row>
    <row r="246" spans="1:18" x14ac:dyDescent="0.3">
      <c r="A246" s="37"/>
      <c r="B246" s="37"/>
      <c r="C246" s="59"/>
      <c r="D246" s="1"/>
      <c r="E246" s="1"/>
      <c r="F246" s="13"/>
      <c r="G246" s="14"/>
      <c r="H246" s="21"/>
      <c r="I246" s="21"/>
      <c r="J246" s="21"/>
      <c r="R246" s="30"/>
    </row>
    <row r="247" spans="1:18" x14ac:dyDescent="0.3">
      <c r="A247" s="37"/>
      <c r="B247" s="37"/>
      <c r="C247" s="59"/>
      <c r="D247" s="1"/>
      <c r="E247" s="1"/>
      <c r="F247" s="13"/>
      <c r="G247" s="14"/>
      <c r="H247" s="21"/>
      <c r="I247" s="21"/>
      <c r="J247" s="21"/>
      <c r="R247" s="30"/>
    </row>
    <row r="248" spans="1:18" x14ac:dyDescent="0.3">
      <c r="A248" s="37"/>
      <c r="B248" s="37"/>
      <c r="C248" s="59"/>
      <c r="D248" s="1"/>
      <c r="E248" s="1"/>
      <c r="F248" s="13"/>
      <c r="G248" s="14"/>
      <c r="H248" s="21"/>
      <c r="I248" s="21"/>
      <c r="J248" s="21"/>
      <c r="R248" s="30"/>
    </row>
    <row r="249" spans="1:18" x14ac:dyDescent="0.3">
      <c r="A249" s="37"/>
      <c r="B249" s="37"/>
      <c r="C249" s="59"/>
      <c r="D249" s="1"/>
      <c r="E249" s="1"/>
      <c r="F249" s="13"/>
      <c r="G249" s="14"/>
      <c r="H249" s="21"/>
      <c r="I249" s="21"/>
      <c r="J249" s="21"/>
      <c r="R249" s="30"/>
    </row>
    <row r="250" spans="1:18" x14ac:dyDescent="0.3">
      <c r="A250" s="37"/>
      <c r="B250" s="37"/>
      <c r="C250" s="59"/>
      <c r="D250" s="1"/>
      <c r="E250" s="1"/>
      <c r="F250" s="13"/>
      <c r="G250" s="14"/>
      <c r="H250" s="21"/>
      <c r="I250" s="21"/>
      <c r="J250" s="21"/>
      <c r="R250" s="30"/>
    </row>
    <row r="251" spans="1:18" x14ac:dyDescent="0.3">
      <c r="A251" s="37"/>
      <c r="B251" s="37"/>
      <c r="C251" s="59"/>
      <c r="D251" s="1"/>
      <c r="E251" s="1"/>
      <c r="F251" s="13"/>
      <c r="G251" s="14"/>
      <c r="H251" s="21"/>
      <c r="I251" s="21"/>
      <c r="J251" s="21"/>
      <c r="R251" s="30"/>
    </row>
    <row r="252" spans="1:18" x14ac:dyDescent="0.3">
      <c r="A252" s="37"/>
      <c r="B252" s="37"/>
      <c r="C252" s="59"/>
      <c r="D252" s="1"/>
      <c r="E252" s="1"/>
      <c r="F252" s="13"/>
      <c r="G252" s="14"/>
      <c r="H252" s="21"/>
      <c r="I252" s="21"/>
      <c r="J252" s="21"/>
      <c r="R252" s="30"/>
    </row>
    <row r="253" spans="1:18" x14ac:dyDescent="0.3">
      <c r="A253" s="37"/>
      <c r="B253" s="37"/>
      <c r="C253" s="59"/>
      <c r="D253" s="1"/>
      <c r="E253" s="1"/>
      <c r="F253" s="13"/>
      <c r="G253" s="14"/>
      <c r="H253" s="21"/>
      <c r="I253" s="21"/>
      <c r="J253" s="21"/>
      <c r="R253" s="30"/>
    </row>
    <row r="254" spans="1:18" x14ac:dyDescent="0.3">
      <c r="A254" s="37"/>
      <c r="B254" s="37"/>
      <c r="C254" s="59"/>
      <c r="D254" s="1"/>
      <c r="E254" s="1"/>
      <c r="F254" s="13"/>
      <c r="G254" s="14"/>
      <c r="H254" s="21"/>
      <c r="I254" s="21"/>
      <c r="J254" s="21"/>
      <c r="R254" s="30"/>
    </row>
    <row r="255" spans="1:18" x14ac:dyDescent="0.3">
      <c r="A255" s="37"/>
      <c r="B255" s="37"/>
      <c r="C255" s="59"/>
      <c r="D255" s="1"/>
      <c r="E255" s="1"/>
      <c r="F255" s="13"/>
      <c r="G255" s="14"/>
      <c r="H255" s="21"/>
      <c r="I255" s="21"/>
      <c r="J255" s="21"/>
      <c r="R255" s="30"/>
    </row>
    <row r="256" spans="1:18" x14ac:dyDescent="0.3">
      <c r="A256" s="37"/>
      <c r="B256" s="37"/>
      <c r="C256" s="59"/>
      <c r="D256" s="1"/>
      <c r="E256" s="1"/>
      <c r="F256" s="13"/>
      <c r="G256" s="14"/>
      <c r="H256" s="21"/>
      <c r="I256" s="21"/>
      <c r="J256" s="21"/>
      <c r="R256" s="30"/>
    </row>
    <row r="257" spans="1:18" x14ac:dyDescent="0.3">
      <c r="A257" s="37"/>
      <c r="B257" s="37"/>
      <c r="C257" s="59"/>
      <c r="D257" s="1"/>
      <c r="E257" s="1"/>
      <c r="F257" s="13"/>
      <c r="G257" s="14"/>
      <c r="H257" s="21"/>
      <c r="I257" s="21"/>
      <c r="J257" s="21"/>
      <c r="R257" s="30"/>
    </row>
    <row r="258" spans="1:18" x14ac:dyDescent="0.3">
      <c r="A258" s="37"/>
      <c r="B258" s="37"/>
      <c r="C258" s="59"/>
      <c r="D258" s="1"/>
      <c r="E258" s="1"/>
      <c r="F258" s="13"/>
      <c r="G258" s="14"/>
      <c r="H258" s="21"/>
      <c r="I258" s="21"/>
      <c r="J258" s="21"/>
      <c r="R258" s="30"/>
    </row>
    <row r="259" spans="1:18" x14ac:dyDescent="0.3">
      <c r="A259" s="37"/>
      <c r="B259" s="37"/>
      <c r="C259" s="59"/>
      <c r="D259" s="1"/>
      <c r="E259" s="1"/>
      <c r="F259" s="13"/>
      <c r="G259" s="14"/>
      <c r="H259" s="21"/>
      <c r="I259" s="21"/>
      <c r="J259" s="21"/>
      <c r="R259" s="30"/>
    </row>
    <row r="260" spans="1:18" x14ac:dyDescent="0.3">
      <c r="A260" s="37"/>
      <c r="B260" s="37"/>
      <c r="C260" s="59"/>
      <c r="D260" s="1"/>
      <c r="E260" s="1"/>
      <c r="F260" s="13"/>
      <c r="G260" s="14"/>
      <c r="H260" s="21"/>
      <c r="I260" s="21"/>
      <c r="J260" s="21"/>
      <c r="R260" s="30"/>
    </row>
  </sheetData>
  <autoFilter ref="A4:AA161" xr:uid="{00000000-0009-0000-0000-000001000000}">
    <filterColumn colId="12">
      <filters>
        <filter val="1.7%"/>
        <filter val="4.0%"/>
        <filter val="4.7%"/>
        <filter val="5.6%"/>
        <filter val="6.0%"/>
        <filter val="6.5%"/>
        <filter val="7.0%"/>
        <filter val="7.1%"/>
        <filter val="7.3%"/>
        <filter val="7.5%"/>
        <filter val="7.7%"/>
        <filter val="7.8%"/>
        <filter val="8.0%"/>
        <filter val="8.2%"/>
        <filter val="8.5%"/>
        <filter val="8.7%"/>
        <filter val="8.9%"/>
      </filters>
    </filterColumn>
  </autoFilter>
  <mergeCells count="66">
    <mergeCell ref="B91:B97"/>
    <mergeCell ref="C91:C97"/>
    <mergeCell ref="B98:B104"/>
    <mergeCell ref="C98:C104"/>
    <mergeCell ref="B105:B107"/>
    <mergeCell ref="C105:C107"/>
    <mergeCell ref="C71:C80"/>
    <mergeCell ref="B81:B85"/>
    <mergeCell ref="C81:C85"/>
    <mergeCell ref="B86:B90"/>
    <mergeCell ref="C86:C90"/>
    <mergeCell ref="A5:A70"/>
    <mergeCell ref="B5:B16"/>
    <mergeCell ref="C5:C14"/>
    <mergeCell ref="C15:C16"/>
    <mergeCell ref="B17:B38"/>
    <mergeCell ref="C17:C18"/>
    <mergeCell ref="C19:C29"/>
    <mergeCell ref="C30:C33"/>
    <mergeCell ref="C34:C38"/>
    <mergeCell ref="B39:B70"/>
    <mergeCell ref="C39:C48"/>
    <mergeCell ref="C49:C66"/>
    <mergeCell ref="C67:C69"/>
    <mergeCell ref="C114:C118"/>
    <mergeCell ref="B119:B124"/>
    <mergeCell ref="C119:C124"/>
    <mergeCell ref="B125:B126"/>
    <mergeCell ref="C125:C126"/>
    <mergeCell ref="B108:B118"/>
    <mergeCell ref="C108:C110"/>
    <mergeCell ref="C111:C113"/>
    <mergeCell ref="B127:B131"/>
    <mergeCell ref="C127:C131"/>
    <mergeCell ref="B132:B139"/>
    <mergeCell ref="C132:C136"/>
    <mergeCell ref="C137:C139"/>
    <mergeCell ref="A159:A161"/>
    <mergeCell ref="B159:B161"/>
    <mergeCell ref="C159:C161"/>
    <mergeCell ref="B140:B141"/>
    <mergeCell ref="C140:C141"/>
    <mergeCell ref="B142:B143"/>
    <mergeCell ref="C142:C143"/>
    <mergeCell ref="B144:B147"/>
    <mergeCell ref="C144:C147"/>
    <mergeCell ref="A148:A158"/>
    <mergeCell ref="B148:B158"/>
    <mergeCell ref="C148:C151"/>
    <mergeCell ref="C152:C153"/>
    <mergeCell ref="C154:C156"/>
    <mergeCell ref="A71:A147"/>
    <mergeCell ref="B71:B80"/>
    <mergeCell ref="A165:A166"/>
    <mergeCell ref="A167:A174"/>
    <mergeCell ref="B168:B169"/>
    <mergeCell ref="C168:C169"/>
    <mergeCell ref="B170:B171"/>
    <mergeCell ref="C170:C171"/>
    <mergeCell ref="B172:B173"/>
    <mergeCell ref="C172:C173"/>
    <mergeCell ref="A177:A198"/>
    <mergeCell ref="B177:B198"/>
    <mergeCell ref="C177:C183"/>
    <mergeCell ref="C184:C193"/>
    <mergeCell ref="C194:C198"/>
  </mergeCells>
  <phoneticPr fontId="4" type="noConversion"/>
  <conditionalFormatting sqref="W9:W13 W148:W151 W15:W67 W154:W157">
    <cfRule type="cellIs" dxfId="233" priority="117" operator="greaterThan">
      <formula>200</formula>
    </cfRule>
  </conditionalFormatting>
  <conditionalFormatting sqref="S56:S79 S34:S38 S154:S157">
    <cfRule type="cellIs" dxfId="232" priority="116" operator="greaterThan">
      <formula>900</formula>
    </cfRule>
  </conditionalFormatting>
  <conditionalFormatting sqref="U148:U151 U114:U124 U154:U157 U5:U112">
    <cfRule type="cellIs" dxfId="231" priority="115" operator="greaterThan">
      <formula>100</formula>
    </cfRule>
  </conditionalFormatting>
  <conditionalFormatting sqref="V9:V13 V62:V67 V15:V48 V154:V157 V148:V151">
    <cfRule type="cellIs" dxfId="230" priority="114" operator="greaterThan">
      <formula>1000</formula>
    </cfRule>
  </conditionalFormatting>
  <conditionalFormatting sqref="S16">
    <cfRule type="cellIs" dxfId="229" priority="106" operator="greaterThan">
      <formula>900</formula>
    </cfRule>
  </conditionalFormatting>
  <conditionalFormatting sqref="U125:U141 U159:U160 U144:U147">
    <cfRule type="cellIs" dxfId="228" priority="113" operator="greaterThan">
      <formula>100</formula>
    </cfRule>
  </conditionalFormatting>
  <conditionalFormatting sqref="S115">
    <cfRule type="cellIs" dxfId="227" priority="94" operator="greaterThan">
      <formula>900</formula>
    </cfRule>
  </conditionalFormatting>
  <conditionalFormatting sqref="S20:S29">
    <cfRule type="cellIs" dxfId="226" priority="92" operator="greaterThan">
      <formula>900</formula>
    </cfRule>
  </conditionalFormatting>
  <conditionalFormatting sqref="S18">
    <cfRule type="cellIs" dxfId="225" priority="91" operator="greaterThan">
      <formula>900</formula>
    </cfRule>
  </conditionalFormatting>
  <conditionalFormatting sqref="M1:M151 M154:M162 M200:M1048576 M175:M176">
    <cfRule type="cellIs" dxfId="224" priority="111" operator="lessThan">
      <formula>0.09</formula>
    </cfRule>
    <cfRule type="cellIs" dxfId="223" priority="112" operator="lessThanOrEqual">
      <formula>0</formula>
    </cfRule>
  </conditionalFormatting>
  <conditionalFormatting sqref="Q1:Q151 Q154:Q162 Q200:Q1048576 Q175:Q176">
    <cfRule type="cellIs" dxfId="222" priority="110" operator="lessThan">
      <formula>150</formula>
    </cfRule>
  </conditionalFormatting>
  <conditionalFormatting sqref="U1:U151 U154:U162 U200:U1048576 U175:U176">
    <cfRule type="cellIs" dxfId="221" priority="109" operator="greaterThan">
      <formula>51</formula>
    </cfRule>
  </conditionalFormatting>
  <conditionalFormatting sqref="S5 S81:S112 S8:S9 S17 S137:S141 S49 S119 S122:S135 S159:S160 S116 S144:S147 S12:S15 S30 S19">
    <cfRule type="cellIs" dxfId="220" priority="108" operator="greaterThan">
      <formula>900</formula>
    </cfRule>
  </conditionalFormatting>
  <conditionalFormatting sqref="S6:S7">
    <cfRule type="cellIs" dxfId="219" priority="107" operator="greaterThan">
      <formula>900</formula>
    </cfRule>
  </conditionalFormatting>
  <conditionalFormatting sqref="S31:S33">
    <cfRule type="cellIs" dxfId="218" priority="105" operator="greaterThan">
      <formula>900</formula>
    </cfRule>
  </conditionalFormatting>
  <conditionalFormatting sqref="S50:S55">
    <cfRule type="cellIs" dxfId="217" priority="104" operator="greaterThan">
      <formula>900</formula>
    </cfRule>
  </conditionalFormatting>
  <conditionalFormatting sqref="S80">
    <cfRule type="cellIs" dxfId="216" priority="103" operator="greaterThan">
      <formula>900</formula>
    </cfRule>
  </conditionalFormatting>
  <conditionalFormatting sqref="S120:S121">
    <cfRule type="cellIs" dxfId="215" priority="102" operator="greaterThan">
      <formula>900</formula>
    </cfRule>
  </conditionalFormatting>
  <conditionalFormatting sqref="S136">
    <cfRule type="cellIs" dxfId="214" priority="101" operator="greaterThan">
      <formula>900</formula>
    </cfRule>
  </conditionalFormatting>
  <conditionalFormatting sqref="S151">
    <cfRule type="cellIs" dxfId="213" priority="100" operator="greaterThan">
      <formula>900</formula>
    </cfRule>
  </conditionalFormatting>
  <conditionalFormatting sqref="S40:S42">
    <cfRule type="cellIs" dxfId="212" priority="99" operator="greaterThan">
      <formula>900</formula>
    </cfRule>
  </conditionalFormatting>
  <conditionalFormatting sqref="S39">
    <cfRule type="cellIs" dxfId="211" priority="98" operator="greaterThan">
      <formula>900</formula>
    </cfRule>
  </conditionalFormatting>
  <conditionalFormatting sqref="S43:S48">
    <cfRule type="cellIs" dxfId="210" priority="97" operator="greaterThan">
      <formula>900</formula>
    </cfRule>
  </conditionalFormatting>
  <conditionalFormatting sqref="S118">
    <cfRule type="cellIs" dxfId="209" priority="96" operator="greaterThan">
      <formula>900</formula>
    </cfRule>
  </conditionalFormatting>
  <conditionalFormatting sqref="S114">
    <cfRule type="cellIs" dxfId="208" priority="95" operator="greaterThan">
      <formula>900</formula>
    </cfRule>
  </conditionalFormatting>
  <conditionalFormatting sqref="S117">
    <cfRule type="cellIs" dxfId="207" priority="93" operator="greaterThan">
      <formula>900</formula>
    </cfRule>
  </conditionalFormatting>
  <conditionalFormatting sqref="W122 W5:W8 W70:W112 W114:W119 W125:W141 W159:W160 W144:W147">
    <cfRule type="cellIs" dxfId="206" priority="90" operator="greaterThan">
      <formula>200</formula>
    </cfRule>
  </conditionalFormatting>
  <conditionalFormatting sqref="V5:V8 V122 V125:V141 V159:V160 V144:V147 V70:V112 V114:V119">
    <cfRule type="cellIs" dxfId="205" priority="89" operator="greaterThan">
      <formula>1000</formula>
    </cfRule>
  </conditionalFormatting>
  <conditionalFormatting sqref="W123:W124">
    <cfRule type="cellIs" dxfId="204" priority="88" operator="greaterThan">
      <formula>200</formula>
    </cfRule>
  </conditionalFormatting>
  <conditionalFormatting sqref="V123:V124">
    <cfRule type="cellIs" dxfId="203" priority="87" operator="greaterThan">
      <formula>1000</formula>
    </cfRule>
  </conditionalFormatting>
  <conditionalFormatting sqref="W120">
    <cfRule type="cellIs" dxfId="202" priority="86" operator="greaterThan">
      <formula>200</formula>
    </cfRule>
  </conditionalFormatting>
  <conditionalFormatting sqref="V120">
    <cfRule type="cellIs" dxfId="201" priority="85" operator="greaterThan">
      <formula>1000</formula>
    </cfRule>
  </conditionalFormatting>
  <conditionalFormatting sqref="W121">
    <cfRule type="cellIs" dxfId="200" priority="84" operator="greaterThan">
      <formula>200</formula>
    </cfRule>
  </conditionalFormatting>
  <conditionalFormatting sqref="V121">
    <cfRule type="cellIs" dxfId="199" priority="83" operator="greaterThan">
      <formula>1000</formula>
    </cfRule>
  </conditionalFormatting>
  <conditionalFormatting sqref="W14">
    <cfRule type="cellIs" dxfId="198" priority="82" operator="greaterThan">
      <formula>200</formula>
    </cfRule>
  </conditionalFormatting>
  <conditionalFormatting sqref="V14">
    <cfRule type="cellIs" dxfId="197" priority="81" operator="greaterThan">
      <formula>1000</formula>
    </cfRule>
  </conditionalFormatting>
  <conditionalFormatting sqref="V68:V69">
    <cfRule type="cellIs" dxfId="196" priority="80" operator="greaterThan">
      <formula>1000</formula>
    </cfRule>
  </conditionalFormatting>
  <conditionalFormatting sqref="W68:W69">
    <cfRule type="cellIs" dxfId="195" priority="79" operator="greaterThan">
      <formula>200</formula>
    </cfRule>
  </conditionalFormatting>
  <conditionalFormatting sqref="V49:V55">
    <cfRule type="cellIs" dxfId="194" priority="78" operator="greaterThan">
      <formula>1000</formula>
    </cfRule>
  </conditionalFormatting>
  <conditionalFormatting sqref="V57:V61">
    <cfRule type="cellIs" dxfId="193" priority="77" operator="greaterThan">
      <formula>1000</formula>
    </cfRule>
  </conditionalFormatting>
  <conditionalFormatting sqref="V56">
    <cfRule type="cellIs" dxfId="192" priority="76" operator="greaterThan">
      <formula>1000</formula>
    </cfRule>
  </conditionalFormatting>
  <conditionalFormatting sqref="W152">
    <cfRule type="cellIs" dxfId="191" priority="75" operator="greaterThan">
      <formula>200</formula>
    </cfRule>
  </conditionalFormatting>
  <conditionalFormatting sqref="S152">
    <cfRule type="cellIs" dxfId="190" priority="74" operator="greaterThan">
      <formula>900</formula>
    </cfRule>
  </conditionalFormatting>
  <conditionalFormatting sqref="U152">
    <cfRule type="cellIs" dxfId="189" priority="73" operator="greaterThan">
      <formula>100</formula>
    </cfRule>
  </conditionalFormatting>
  <conditionalFormatting sqref="V152">
    <cfRule type="cellIs" dxfId="188" priority="72" operator="greaterThan">
      <formula>1000</formula>
    </cfRule>
  </conditionalFormatting>
  <conditionalFormatting sqref="M152">
    <cfRule type="cellIs" dxfId="187" priority="70" operator="lessThan">
      <formula>0.09</formula>
    </cfRule>
    <cfRule type="cellIs" dxfId="186" priority="71" operator="lessThanOrEqual">
      <formula>0</formula>
    </cfRule>
  </conditionalFormatting>
  <conditionalFormatting sqref="Q152">
    <cfRule type="cellIs" dxfId="185" priority="69" operator="lessThan">
      <formula>150</formula>
    </cfRule>
  </conditionalFormatting>
  <conditionalFormatting sqref="U152">
    <cfRule type="cellIs" dxfId="184" priority="68" operator="greaterThan">
      <formula>51</formula>
    </cfRule>
  </conditionalFormatting>
  <conditionalFormatting sqref="W153">
    <cfRule type="cellIs" dxfId="183" priority="67" operator="greaterThan">
      <formula>200</formula>
    </cfRule>
  </conditionalFormatting>
  <conditionalFormatting sqref="S153">
    <cfRule type="cellIs" dxfId="182" priority="66" operator="greaterThan">
      <formula>900</formula>
    </cfRule>
  </conditionalFormatting>
  <conditionalFormatting sqref="U153">
    <cfRule type="cellIs" dxfId="181" priority="65" operator="greaterThan">
      <formula>100</formula>
    </cfRule>
  </conditionalFormatting>
  <conditionalFormatting sqref="V153">
    <cfRule type="cellIs" dxfId="180" priority="64" operator="greaterThan">
      <formula>1000</formula>
    </cfRule>
  </conditionalFormatting>
  <conditionalFormatting sqref="M153">
    <cfRule type="cellIs" dxfId="179" priority="62" operator="lessThan">
      <formula>0.09</formula>
    </cfRule>
    <cfRule type="cellIs" dxfId="178" priority="63" operator="lessThanOrEqual">
      <formula>0</formula>
    </cfRule>
  </conditionalFormatting>
  <conditionalFormatting sqref="Q153">
    <cfRule type="cellIs" dxfId="177" priority="61" operator="lessThan">
      <formula>150</formula>
    </cfRule>
  </conditionalFormatting>
  <conditionalFormatting sqref="U153">
    <cfRule type="cellIs" dxfId="176" priority="60" operator="greaterThan">
      <formula>51</formula>
    </cfRule>
  </conditionalFormatting>
  <conditionalFormatting sqref="U167">
    <cfRule type="cellIs" dxfId="175" priority="59" operator="greaterThan">
      <formula>100</formula>
    </cfRule>
  </conditionalFormatting>
  <conditionalFormatting sqref="Q167">
    <cfRule type="cellIs" dxfId="174" priority="58" operator="lessThan">
      <formula>150</formula>
    </cfRule>
  </conditionalFormatting>
  <conditionalFormatting sqref="U167">
    <cfRule type="cellIs" dxfId="173" priority="57" operator="greaterThan">
      <formula>51</formula>
    </cfRule>
  </conditionalFormatting>
  <conditionalFormatting sqref="S167">
    <cfRule type="cellIs" dxfId="172" priority="56" operator="greaterThan">
      <formula>900</formula>
    </cfRule>
  </conditionalFormatting>
  <conditionalFormatting sqref="W167">
    <cfRule type="cellIs" dxfId="171" priority="55" operator="greaterThan">
      <formula>200</formula>
    </cfRule>
  </conditionalFormatting>
  <conditionalFormatting sqref="V167">
    <cfRule type="cellIs" dxfId="170" priority="54" operator="greaterThan">
      <formula>1000</formula>
    </cfRule>
  </conditionalFormatting>
  <conditionalFormatting sqref="U168:U169">
    <cfRule type="cellIs" dxfId="169" priority="53" operator="greaterThan">
      <formula>100</formula>
    </cfRule>
  </conditionalFormatting>
  <conditionalFormatting sqref="Q168:Q169">
    <cfRule type="cellIs" dxfId="168" priority="52" operator="lessThan">
      <formula>150</formula>
    </cfRule>
  </conditionalFormatting>
  <conditionalFormatting sqref="U168:U169">
    <cfRule type="cellIs" dxfId="167" priority="51" operator="greaterThan">
      <formula>51</formula>
    </cfRule>
  </conditionalFormatting>
  <conditionalFormatting sqref="S168:S169">
    <cfRule type="cellIs" dxfId="166" priority="50" operator="greaterThan">
      <formula>900</formula>
    </cfRule>
  </conditionalFormatting>
  <conditionalFormatting sqref="W168">
    <cfRule type="cellIs" dxfId="165" priority="49" operator="greaterThan">
      <formula>200</formula>
    </cfRule>
  </conditionalFormatting>
  <conditionalFormatting sqref="V168">
    <cfRule type="cellIs" dxfId="164" priority="48" operator="greaterThan">
      <formula>1000</formula>
    </cfRule>
  </conditionalFormatting>
  <conditionalFormatting sqref="Q164">
    <cfRule type="cellIs" dxfId="163" priority="47" operator="lessThan">
      <formula>150</formula>
    </cfRule>
  </conditionalFormatting>
  <conditionalFormatting sqref="U164">
    <cfRule type="cellIs" dxfId="162" priority="46" operator="greaterThan">
      <formula>51</formula>
    </cfRule>
  </conditionalFormatting>
  <conditionalFormatting sqref="Q165">
    <cfRule type="cellIs" dxfId="161" priority="45" operator="lessThan">
      <formula>150</formula>
    </cfRule>
  </conditionalFormatting>
  <conditionalFormatting sqref="U165">
    <cfRule type="cellIs" dxfId="160" priority="44" operator="greaterThan">
      <formula>51</formula>
    </cfRule>
  </conditionalFormatting>
  <conditionalFormatting sqref="Q166">
    <cfRule type="cellIs" dxfId="159" priority="43" operator="lessThan">
      <formula>150</formula>
    </cfRule>
  </conditionalFormatting>
  <conditionalFormatting sqref="U166">
    <cfRule type="cellIs" dxfId="158" priority="42" operator="greaterThan">
      <formula>51</formula>
    </cfRule>
  </conditionalFormatting>
  <conditionalFormatting sqref="U170:U172 U174">
    <cfRule type="cellIs" dxfId="157" priority="41" operator="greaterThan">
      <formula>100</formula>
    </cfRule>
  </conditionalFormatting>
  <conditionalFormatting sqref="Q170:Q174">
    <cfRule type="cellIs" dxfId="156" priority="40" operator="lessThan">
      <formula>150</formula>
    </cfRule>
  </conditionalFormatting>
  <conditionalFormatting sqref="U170:U172 U174">
    <cfRule type="cellIs" dxfId="155" priority="39" operator="greaterThan">
      <formula>51</formula>
    </cfRule>
  </conditionalFormatting>
  <conditionalFormatting sqref="S174">
    <cfRule type="cellIs" dxfId="154" priority="38" operator="greaterThan">
      <formula>900</formula>
    </cfRule>
  </conditionalFormatting>
  <conditionalFormatting sqref="V174">
    <cfRule type="cellIs" dxfId="153" priority="37" operator="greaterThan">
      <formula>1000</formula>
    </cfRule>
  </conditionalFormatting>
  <conditionalFormatting sqref="W169">
    <cfRule type="cellIs" dxfId="152" priority="36" operator="greaterThan">
      <formula>200</formula>
    </cfRule>
  </conditionalFormatting>
  <conditionalFormatting sqref="V169">
    <cfRule type="cellIs" dxfId="151" priority="35" operator="greaterThan">
      <formula>1000</formula>
    </cfRule>
  </conditionalFormatting>
  <conditionalFormatting sqref="S170">
    <cfRule type="cellIs" dxfId="150" priority="34" operator="greaterThan">
      <formula>900</formula>
    </cfRule>
  </conditionalFormatting>
  <conditionalFormatting sqref="W170">
    <cfRule type="cellIs" dxfId="149" priority="33" operator="greaterThan">
      <formula>200</formula>
    </cfRule>
  </conditionalFormatting>
  <conditionalFormatting sqref="V170">
    <cfRule type="cellIs" dxfId="148" priority="32" operator="greaterThan">
      <formula>1000</formula>
    </cfRule>
  </conditionalFormatting>
  <conditionalFormatting sqref="S171:S172">
    <cfRule type="cellIs" dxfId="147" priority="31" operator="greaterThan">
      <formula>900</formula>
    </cfRule>
  </conditionalFormatting>
  <conditionalFormatting sqref="W171:W172">
    <cfRule type="cellIs" dxfId="146" priority="30" operator="greaterThan">
      <formula>200</formula>
    </cfRule>
  </conditionalFormatting>
  <conditionalFormatting sqref="V171:V172">
    <cfRule type="cellIs" dxfId="145" priority="29" operator="greaterThan">
      <formula>1000</formula>
    </cfRule>
  </conditionalFormatting>
  <conditionalFormatting sqref="W174">
    <cfRule type="cellIs" dxfId="144" priority="28" operator="greaterThan">
      <formula>200</formula>
    </cfRule>
  </conditionalFormatting>
  <conditionalFormatting sqref="M164:M174">
    <cfRule type="cellIs" dxfId="143" priority="26" operator="lessThan">
      <formula>0.09</formula>
    </cfRule>
    <cfRule type="cellIs" dxfId="142" priority="27" operator="lessThanOrEqual">
      <formula>0</formula>
    </cfRule>
  </conditionalFormatting>
  <conditionalFormatting sqref="S149">
    <cfRule type="cellIs" dxfId="141" priority="25" operator="greaterThan">
      <formula>900</formula>
    </cfRule>
  </conditionalFormatting>
  <conditionalFormatting sqref="S148">
    <cfRule type="cellIs" dxfId="140" priority="24" operator="greaterThan">
      <formula>900</formula>
    </cfRule>
  </conditionalFormatting>
  <conditionalFormatting sqref="S150">
    <cfRule type="cellIs" dxfId="139" priority="23" operator="greaterThan">
      <formula>900</formula>
    </cfRule>
  </conditionalFormatting>
  <conditionalFormatting sqref="S10">
    <cfRule type="cellIs" dxfId="138" priority="22" operator="greaterThan">
      <formula>900</formula>
    </cfRule>
  </conditionalFormatting>
  <conditionalFormatting sqref="S11">
    <cfRule type="cellIs" dxfId="137" priority="21" operator="greaterThan">
      <formula>900</formula>
    </cfRule>
  </conditionalFormatting>
  <conditionalFormatting sqref="Q177">
    <cfRule type="cellIs" dxfId="136" priority="20" operator="lessThan">
      <formula>150</formula>
    </cfRule>
  </conditionalFormatting>
  <conditionalFormatting sqref="U177">
    <cfRule type="cellIs" dxfId="135" priority="19" operator="greaterThan">
      <formula>51</formula>
    </cfRule>
  </conditionalFormatting>
  <conditionalFormatting sqref="Q178">
    <cfRule type="cellIs" dxfId="134" priority="18" operator="lessThan">
      <formula>150</formula>
    </cfRule>
  </conditionalFormatting>
  <conditionalFormatting sqref="M177:M193">
    <cfRule type="cellIs" dxfId="133" priority="15" operator="lessThan">
      <formula>0.09</formula>
    </cfRule>
    <cfRule type="cellIs" dxfId="132" priority="16" operator="lessThanOrEqual">
      <formula>0</formula>
    </cfRule>
  </conditionalFormatting>
  <conditionalFormatting sqref="Q179:Q193">
    <cfRule type="cellIs" dxfId="131" priority="17" operator="lessThan">
      <formula>150</formula>
    </cfRule>
  </conditionalFormatting>
  <conditionalFormatting sqref="M199">
    <cfRule type="cellIs" dxfId="130" priority="11" operator="lessThan">
      <formula>0.09</formula>
    </cfRule>
    <cfRule type="cellIs" dxfId="129" priority="12" operator="lessThanOrEqual">
      <formula>0</formula>
    </cfRule>
  </conditionalFormatting>
  <conditionalFormatting sqref="Q194:Q199">
    <cfRule type="cellIs" dxfId="128" priority="14" operator="lessThan">
      <formula>150</formula>
    </cfRule>
  </conditionalFormatting>
  <conditionalFormatting sqref="U199">
    <cfRule type="cellIs" dxfId="127" priority="13" operator="greaterThan">
      <formula>51</formula>
    </cfRule>
  </conditionalFormatting>
  <conditionalFormatting sqref="M194:M198">
    <cfRule type="cellIs" dxfId="126" priority="9" operator="lessThan">
      <formula>0.09</formula>
    </cfRule>
    <cfRule type="cellIs" dxfId="125" priority="10" operator="lessThanOrEqual">
      <formula>0</formula>
    </cfRule>
  </conditionalFormatting>
  <conditionalFormatting sqref="U178:U198">
    <cfRule type="cellIs" dxfId="124" priority="8" operator="greaterThan">
      <formula>51</formula>
    </cfRule>
  </conditionalFormatting>
  <conditionalFormatting sqref="U173">
    <cfRule type="cellIs" dxfId="123" priority="7" operator="greaterThan">
      <formula>100</formula>
    </cfRule>
  </conditionalFormatting>
  <conditionalFormatting sqref="U173">
    <cfRule type="cellIs" dxfId="122" priority="6" operator="greaterThan">
      <formula>51</formula>
    </cfRule>
  </conditionalFormatting>
  <conditionalFormatting sqref="S173">
    <cfRule type="cellIs" dxfId="121" priority="5" operator="greaterThan">
      <formula>900</formula>
    </cfRule>
  </conditionalFormatting>
  <conditionalFormatting sqref="W173">
    <cfRule type="cellIs" dxfId="120" priority="4" operator="greaterThan">
      <formula>200</formula>
    </cfRule>
  </conditionalFormatting>
  <conditionalFormatting sqref="V173">
    <cfRule type="cellIs" dxfId="119" priority="3" operator="greaterThan">
      <formula>1000</formula>
    </cfRule>
  </conditionalFormatting>
  <conditionalFormatting sqref="AS12">
    <cfRule type="cellIs" dxfId="118" priority="2" operator="greaterThan">
      <formula>$R$12</formula>
    </cfRule>
  </conditionalFormatting>
  <printOptions horizontalCentered="1" verticalCentered="1"/>
  <pageMargins left="0" right="0" top="0" bottom="0.19685039370078741" header="0" footer="0"/>
  <pageSetup paperSize="8" scale="98" fitToHeight="0" orientation="landscape" horizontalDpi="1200" verticalDpi="12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AT260"/>
  <sheetViews>
    <sheetView zoomScale="115" zoomScaleNormal="115" zoomScaleSheetLayoutView="130" workbookViewId="0">
      <pane xSplit="5" ySplit="4" topLeftCell="F5" activePane="bottomRight" state="frozen"/>
      <selection activeCell="G63" sqref="G63"/>
      <selection pane="topRight" activeCell="G63" sqref="G63"/>
      <selection pane="bottomLeft" activeCell="G63" sqref="G63"/>
      <selection pane="bottomRight" activeCell="G63" sqref="G63"/>
    </sheetView>
  </sheetViews>
  <sheetFormatPr defaultColWidth="9" defaultRowHeight="11.25" x14ac:dyDescent="0.3"/>
  <cols>
    <col min="1" max="2" width="4" style="40" hidden="1" customWidth="1"/>
    <col min="3" max="3" width="6.875" style="60" hidden="1" customWidth="1"/>
    <col min="4" max="4" width="37.625" style="40" customWidth="1"/>
    <col min="5" max="5" width="11.5" style="40" hidden="1" customWidth="1"/>
    <col min="6" max="7" width="4.75" style="17" customWidth="1"/>
    <col min="8" max="8" width="6.625" style="22" customWidth="1"/>
    <col min="9" max="9" width="6.5" style="22" customWidth="1"/>
    <col min="10" max="10" width="6" style="22" customWidth="1"/>
    <col min="11" max="11" width="6.75" style="66" customWidth="1"/>
    <col min="12" max="12" width="6.75" style="38" customWidth="1"/>
    <col min="13" max="13" width="4.75" style="158" customWidth="1"/>
    <col min="14" max="14" width="6.75" style="38" hidden="1" customWidth="1"/>
    <col min="15" max="15" width="4.75" style="39" hidden="1" customWidth="1"/>
    <col min="16" max="16" width="6.75" style="33" customWidth="1"/>
    <col min="17" max="17" width="5.375" style="44" customWidth="1"/>
    <col min="18" max="18" width="6.125" style="45" customWidth="1"/>
    <col min="19" max="19" width="6.125" style="35" hidden="1" customWidth="1"/>
    <col min="20" max="24" width="6.125" style="44" hidden="1" customWidth="1"/>
    <col min="25" max="25" width="48.75" style="36" hidden="1" customWidth="1"/>
    <col min="26" max="28" width="9" style="40" hidden="1" customWidth="1"/>
    <col min="29" max="29" width="6.625" style="40" bestFit="1" customWidth="1"/>
    <col min="30" max="31" width="6" style="40" bestFit="1" customWidth="1"/>
    <col min="32" max="32" width="6.25" style="40" bestFit="1" customWidth="1"/>
    <col min="33" max="33" width="5" style="40" hidden="1" customWidth="1"/>
    <col min="34" max="34" width="4.25" style="40" hidden="1" customWidth="1"/>
    <col min="35" max="35" width="5.75" style="40" hidden="1" customWidth="1"/>
    <col min="36" max="36" width="5" style="40" hidden="1" customWidth="1"/>
    <col min="37" max="38" width="6" style="40" customWidth="1"/>
    <col min="39" max="39" width="5.25" style="40" bestFit="1" customWidth="1"/>
    <col min="40" max="40" width="5.25" style="40" hidden="1" customWidth="1"/>
    <col min="41" max="41" width="5" style="40" hidden="1" customWidth="1"/>
    <col min="42" max="42" width="5" style="40" bestFit="1" customWidth="1"/>
    <col min="43" max="43" width="4.25" style="40" hidden="1" customWidth="1"/>
    <col min="44" max="44" width="6.75" style="40" hidden="1" customWidth="1"/>
    <col min="45" max="45" width="17.875" style="40" bestFit="1" customWidth="1"/>
    <col min="46" max="46" width="7" style="40" bestFit="1" customWidth="1"/>
    <col min="47" max="47" width="4.125" style="40" customWidth="1"/>
    <col min="48" max="16384" width="9" style="40"/>
  </cols>
  <sheetData>
    <row r="1" spans="1:46" s="37" customFormat="1" ht="15" customHeight="1" x14ac:dyDescent="0.3">
      <c r="A1" s="2" t="s">
        <v>331</v>
      </c>
      <c r="B1" s="2"/>
      <c r="C1" s="2" t="s">
        <v>331</v>
      </c>
      <c r="D1" s="72"/>
      <c r="E1" s="4"/>
      <c r="F1" s="72" t="s">
        <v>231</v>
      </c>
      <c r="G1" s="14"/>
      <c r="H1" s="24"/>
      <c r="I1" s="24"/>
      <c r="J1" s="24"/>
      <c r="K1" s="66"/>
      <c r="L1" s="31"/>
      <c r="M1" s="155"/>
      <c r="N1" s="31"/>
      <c r="O1" s="32"/>
      <c r="P1" s="33"/>
      <c r="Q1" s="35"/>
      <c r="R1" s="29"/>
      <c r="S1" s="34"/>
      <c r="T1" s="35"/>
      <c r="U1" s="35"/>
      <c r="V1" s="35"/>
      <c r="W1" s="35"/>
      <c r="X1" s="35"/>
      <c r="Y1" s="36"/>
    </row>
    <row r="2" spans="1:46" s="59" customFormat="1" x14ac:dyDescent="0.3">
      <c r="A2" s="61"/>
      <c r="B2" s="61"/>
      <c r="C2" s="3"/>
      <c r="D2" s="59" t="s">
        <v>328</v>
      </c>
      <c r="E2" s="4"/>
      <c r="F2" s="13"/>
      <c r="G2" s="14"/>
      <c r="H2" s="3"/>
      <c r="I2" s="3"/>
      <c r="J2" s="3"/>
      <c r="K2" s="64"/>
      <c r="L2" s="62" t="s">
        <v>196</v>
      </c>
      <c r="M2" s="156">
        <v>0.09</v>
      </c>
      <c r="N2" s="62" t="s">
        <v>197</v>
      </c>
      <c r="O2" s="63"/>
      <c r="P2" s="64"/>
      <c r="Q2" s="15">
        <v>150</v>
      </c>
      <c r="R2" s="65"/>
      <c r="S2" s="70">
        <v>900</v>
      </c>
      <c r="T2" s="71"/>
      <c r="U2" s="70">
        <v>50</v>
      </c>
      <c r="V2" s="70">
        <v>1000</v>
      </c>
      <c r="W2" s="70">
        <v>200</v>
      </c>
      <c r="X2" s="65"/>
      <c r="Y2" s="59" t="s">
        <v>175</v>
      </c>
      <c r="AF2" s="162" t="s">
        <v>518</v>
      </c>
    </row>
    <row r="3" spans="1:46" s="59" customFormat="1" hidden="1" x14ac:dyDescent="0.3">
      <c r="A3" s="61"/>
      <c r="B3" s="61"/>
      <c r="C3" s="3"/>
      <c r="D3" s="59" t="s">
        <v>329</v>
      </c>
      <c r="E3" s="4"/>
      <c r="F3" s="13"/>
      <c r="G3" s="14"/>
      <c r="H3" s="3"/>
      <c r="I3" s="3"/>
      <c r="J3" s="3"/>
      <c r="K3" s="64"/>
      <c r="L3" s="62"/>
      <c r="M3" s="156"/>
      <c r="N3" s="62"/>
      <c r="O3" s="63"/>
      <c r="P3" s="64"/>
      <c r="Q3" s="15"/>
      <c r="R3" s="65"/>
      <c r="S3" s="70"/>
      <c r="T3" s="71"/>
      <c r="U3" s="70"/>
      <c r="V3" s="70"/>
      <c r="W3" s="70"/>
      <c r="X3" s="65"/>
    </row>
    <row r="4" spans="1:46" ht="22.5" x14ac:dyDescent="0.3">
      <c r="A4" s="179" t="s">
        <v>186</v>
      </c>
      <c r="B4" s="5" t="s">
        <v>0</v>
      </c>
      <c r="C4" s="180" t="s">
        <v>1</v>
      </c>
      <c r="D4" s="179" t="s">
        <v>521</v>
      </c>
      <c r="E4" s="6" t="s">
        <v>106</v>
      </c>
      <c r="F4" s="181" t="s">
        <v>95</v>
      </c>
      <c r="G4" s="182"/>
      <c r="H4" s="183" t="s">
        <v>98</v>
      </c>
      <c r="I4" s="184" t="s">
        <v>93</v>
      </c>
      <c r="J4" s="184" t="s">
        <v>94</v>
      </c>
      <c r="K4" s="177" t="s">
        <v>170</v>
      </c>
      <c r="L4" s="185" t="s">
        <v>171</v>
      </c>
      <c r="M4" s="186" t="s">
        <v>174</v>
      </c>
      <c r="N4" s="129" t="s">
        <v>172</v>
      </c>
      <c r="O4" s="130" t="s">
        <v>173</v>
      </c>
      <c r="P4" s="177" t="s">
        <v>194</v>
      </c>
      <c r="Q4" s="187" t="s">
        <v>195</v>
      </c>
      <c r="R4" s="178" t="s">
        <v>99</v>
      </c>
      <c r="S4" s="188" t="s">
        <v>2</v>
      </c>
      <c r="T4" s="178" t="s">
        <v>88</v>
      </c>
      <c r="U4" s="50" t="s">
        <v>92</v>
      </c>
      <c r="V4" s="189" t="s">
        <v>3</v>
      </c>
      <c r="W4" s="189" t="s">
        <v>4</v>
      </c>
      <c r="X4" s="189" t="s">
        <v>5</v>
      </c>
      <c r="Y4" s="37" t="s">
        <v>105</v>
      </c>
      <c r="AC4" s="190" t="s">
        <v>519</v>
      </c>
      <c r="AD4" s="191" t="s">
        <v>88</v>
      </c>
      <c r="AE4" s="191" t="s">
        <v>2</v>
      </c>
      <c r="AF4" s="191" t="s">
        <v>93</v>
      </c>
      <c r="AG4" s="191" t="s">
        <v>505</v>
      </c>
      <c r="AH4" s="191" t="s">
        <v>514</v>
      </c>
      <c r="AI4" s="191" t="s">
        <v>515</v>
      </c>
      <c r="AJ4" s="191" t="s">
        <v>506</v>
      </c>
      <c r="AK4" s="191" t="s">
        <v>94</v>
      </c>
      <c r="AL4" s="191" t="s">
        <v>507</v>
      </c>
      <c r="AM4" s="191" t="s">
        <v>508</v>
      </c>
      <c r="AN4" s="191" t="s">
        <v>520</v>
      </c>
      <c r="AO4" s="191" t="s">
        <v>509</v>
      </c>
      <c r="AP4" s="191" t="s">
        <v>510</v>
      </c>
      <c r="AQ4" s="191" t="s">
        <v>511</v>
      </c>
      <c r="AR4" s="191" t="s">
        <v>517</v>
      </c>
      <c r="AS4" s="192" t="s">
        <v>522</v>
      </c>
      <c r="AT4" s="193" t="s">
        <v>523</v>
      </c>
    </row>
    <row r="5" spans="1:46" x14ac:dyDescent="0.3">
      <c r="A5" s="304" t="s">
        <v>187</v>
      </c>
      <c r="B5" s="304" t="s">
        <v>6</v>
      </c>
      <c r="C5" s="305" t="s">
        <v>7</v>
      </c>
      <c r="D5" s="7" t="s">
        <v>338</v>
      </c>
      <c r="E5" s="76">
        <v>9810592000201</v>
      </c>
      <c r="F5" s="9">
        <v>6.5</v>
      </c>
      <c r="G5" s="8" t="s">
        <v>8</v>
      </c>
      <c r="H5" s="26" t="s">
        <v>96</v>
      </c>
      <c r="I5" s="26" t="s">
        <v>9</v>
      </c>
      <c r="J5" s="26" t="s">
        <v>76</v>
      </c>
      <c r="K5" s="67">
        <v>12000</v>
      </c>
      <c r="L5" s="131">
        <f>K5*26%</f>
        <v>3120</v>
      </c>
      <c r="M5" s="157">
        <f t="shared" ref="M5:M68" si="0">(L5-P5)/K5</f>
        <v>9.3333333333333338E-2</v>
      </c>
      <c r="N5" s="131">
        <f>K5*60%</f>
        <v>7200</v>
      </c>
      <c r="O5" s="132">
        <f t="shared" ref="O5:O68" si="1">(N5-P5)/K5</f>
        <v>0.43333333333333335</v>
      </c>
      <c r="P5" s="73">
        <v>2000</v>
      </c>
      <c r="Q5" s="56">
        <f>P5-R5</f>
        <v>195</v>
      </c>
      <c r="R5" s="48">
        <f t="shared" ref="R5:R68" si="2">S5+T5+V5+W5+X5</f>
        <v>1805</v>
      </c>
      <c r="S5" s="52">
        <v>1100</v>
      </c>
      <c r="T5" s="52">
        <v>605</v>
      </c>
      <c r="U5" s="52">
        <f t="shared" ref="U5:U68" si="3">T5/F5</f>
        <v>93.07692307692308</v>
      </c>
      <c r="V5" s="52">
        <v>0</v>
      </c>
      <c r="W5" s="52">
        <v>100</v>
      </c>
      <c r="X5" s="52"/>
      <c r="Y5" s="41" t="s">
        <v>118</v>
      </c>
      <c r="AA5" s="40" t="s">
        <v>6</v>
      </c>
      <c r="AB5" s="40">
        <v>12</v>
      </c>
    </row>
    <row r="6" spans="1:46" x14ac:dyDescent="0.3">
      <c r="A6" s="304"/>
      <c r="B6" s="304"/>
      <c r="C6" s="305"/>
      <c r="D6" s="7" t="s">
        <v>339</v>
      </c>
      <c r="E6" s="76">
        <v>9810592000200</v>
      </c>
      <c r="F6" s="9">
        <v>6.5</v>
      </c>
      <c r="G6" s="8" t="s">
        <v>8</v>
      </c>
      <c r="H6" s="26" t="s">
        <v>96</v>
      </c>
      <c r="I6" s="26" t="s">
        <v>9</v>
      </c>
      <c r="J6" s="26" t="s">
        <v>76</v>
      </c>
      <c r="K6" s="67">
        <v>12000</v>
      </c>
      <c r="L6" s="131">
        <f t="shared" ref="L6:L69" si="4">K6*26%</f>
        <v>3120</v>
      </c>
      <c r="M6" s="157">
        <f t="shared" si="0"/>
        <v>9.3333333333333338E-2</v>
      </c>
      <c r="N6" s="131">
        <f t="shared" ref="N6:N69" si="5">K6*60%</f>
        <v>7200</v>
      </c>
      <c r="O6" s="132">
        <f t="shared" si="1"/>
        <v>0.43333333333333335</v>
      </c>
      <c r="P6" s="73">
        <v>2000</v>
      </c>
      <c r="Q6" s="56">
        <f t="shared" ref="Q6:Q69" si="6">P6-R6</f>
        <v>195</v>
      </c>
      <c r="R6" s="48">
        <f t="shared" si="2"/>
        <v>1805</v>
      </c>
      <c r="S6" s="52">
        <v>1100</v>
      </c>
      <c r="T6" s="52">
        <v>605</v>
      </c>
      <c r="U6" s="52">
        <f t="shared" si="3"/>
        <v>93.07692307692308</v>
      </c>
      <c r="V6" s="52">
        <v>0</v>
      </c>
      <c r="W6" s="52">
        <v>100</v>
      </c>
      <c r="X6" s="52"/>
      <c r="Y6" s="41" t="s">
        <v>118</v>
      </c>
    </row>
    <row r="7" spans="1:46" x14ac:dyDescent="0.3">
      <c r="A7" s="304"/>
      <c r="B7" s="304"/>
      <c r="C7" s="305"/>
      <c r="D7" s="7" t="s">
        <v>340</v>
      </c>
      <c r="E7" s="76">
        <v>9810592000202</v>
      </c>
      <c r="F7" s="9">
        <v>6.5</v>
      </c>
      <c r="G7" s="8" t="s">
        <v>8</v>
      </c>
      <c r="H7" s="26" t="s">
        <v>96</v>
      </c>
      <c r="I7" s="26" t="s">
        <v>9</v>
      </c>
      <c r="J7" s="26" t="s">
        <v>76</v>
      </c>
      <c r="K7" s="67">
        <v>12000</v>
      </c>
      <c r="L7" s="131">
        <f t="shared" si="4"/>
        <v>3120</v>
      </c>
      <c r="M7" s="157">
        <f t="shared" si="0"/>
        <v>9.3333333333333338E-2</v>
      </c>
      <c r="N7" s="131">
        <f t="shared" si="5"/>
        <v>7200</v>
      </c>
      <c r="O7" s="132">
        <f t="shared" si="1"/>
        <v>0.43333333333333335</v>
      </c>
      <c r="P7" s="73">
        <v>2000</v>
      </c>
      <c r="Q7" s="56">
        <f t="shared" si="6"/>
        <v>195</v>
      </c>
      <c r="R7" s="48">
        <f t="shared" si="2"/>
        <v>1805</v>
      </c>
      <c r="S7" s="52">
        <v>1100</v>
      </c>
      <c r="T7" s="52">
        <v>605</v>
      </c>
      <c r="U7" s="52">
        <f t="shared" si="3"/>
        <v>93.07692307692308</v>
      </c>
      <c r="V7" s="52">
        <v>0</v>
      </c>
      <c r="W7" s="52">
        <v>100</v>
      </c>
      <c r="X7" s="52"/>
      <c r="Y7" s="41" t="s">
        <v>118</v>
      </c>
    </row>
    <row r="8" spans="1:46" x14ac:dyDescent="0.3">
      <c r="A8" s="304"/>
      <c r="B8" s="304"/>
      <c r="C8" s="305"/>
      <c r="D8" s="7" t="s">
        <v>341</v>
      </c>
      <c r="E8" s="76">
        <v>9810592000203</v>
      </c>
      <c r="F8" s="9">
        <v>6.5</v>
      </c>
      <c r="G8" s="8" t="s">
        <v>8</v>
      </c>
      <c r="H8" s="26" t="s">
        <v>96</v>
      </c>
      <c r="I8" s="26" t="s">
        <v>9</v>
      </c>
      <c r="J8" s="26" t="s">
        <v>76</v>
      </c>
      <c r="K8" s="67">
        <v>12000</v>
      </c>
      <c r="L8" s="131">
        <f t="shared" si="4"/>
        <v>3120</v>
      </c>
      <c r="M8" s="157">
        <f t="shared" si="0"/>
        <v>9.3333333333333338E-2</v>
      </c>
      <c r="N8" s="131">
        <f t="shared" si="5"/>
        <v>7200</v>
      </c>
      <c r="O8" s="132">
        <f t="shared" si="1"/>
        <v>0.43333333333333335</v>
      </c>
      <c r="P8" s="73">
        <v>2000</v>
      </c>
      <c r="Q8" s="56">
        <f t="shared" si="6"/>
        <v>162</v>
      </c>
      <c r="R8" s="48">
        <f t="shared" si="2"/>
        <v>1838</v>
      </c>
      <c r="S8" s="52">
        <v>1140</v>
      </c>
      <c r="T8" s="52">
        <v>598</v>
      </c>
      <c r="U8" s="52">
        <f t="shared" si="3"/>
        <v>92</v>
      </c>
      <c r="V8" s="52">
        <v>0</v>
      </c>
      <c r="W8" s="52">
        <v>100</v>
      </c>
      <c r="X8" s="52"/>
      <c r="Y8" s="41" t="s">
        <v>118</v>
      </c>
    </row>
    <row r="9" spans="1:46" x14ac:dyDescent="0.3">
      <c r="A9" s="304"/>
      <c r="B9" s="304"/>
      <c r="C9" s="305"/>
      <c r="D9" s="7" t="s">
        <v>342</v>
      </c>
      <c r="E9" s="76">
        <v>9810592000115</v>
      </c>
      <c r="F9" s="16">
        <v>30</v>
      </c>
      <c r="G9" s="8" t="s">
        <v>16</v>
      </c>
      <c r="H9" s="113" t="s">
        <v>271</v>
      </c>
      <c r="I9" s="26" t="s">
        <v>11</v>
      </c>
      <c r="J9" s="26" t="s">
        <v>77</v>
      </c>
      <c r="K9" s="67">
        <v>15000</v>
      </c>
      <c r="L9" s="131">
        <f t="shared" si="4"/>
        <v>3900</v>
      </c>
      <c r="M9" s="157">
        <f t="shared" si="0"/>
        <v>0.13333333333333333</v>
      </c>
      <c r="N9" s="131">
        <f t="shared" si="5"/>
        <v>9000</v>
      </c>
      <c r="O9" s="132">
        <f t="shared" si="1"/>
        <v>0.47333333333333333</v>
      </c>
      <c r="P9" s="73">
        <v>1900</v>
      </c>
      <c r="Q9" s="56">
        <f t="shared" si="6"/>
        <v>150.99999999999977</v>
      </c>
      <c r="R9" s="112">
        <f t="shared" si="2"/>
        <v>1749.0000000000002</v>
      </c>
      <c r="S9" s="57">
        <f>450*1.1</f>
        <v>495.00000000000006</v>
      </c>
      <c r="T9" s="57">
        <f>800*1.1</f>
        <v>880.00000000000011</v>
      </c>
      <c r="U9" s="52">
        <f t="shared" si="3"/>
        <v>29.333333333333336</v>
      </c>
      <c r="V9" s="118">
        <v>264</v>
      </c>
      <c r="W9" s="52">
        <v>110</v>
      </c>
      <c r="X9" s="52"/>
      <c r="Y9" s="41" t="s">
        <v>122</v>
      </c>
      <c r="Z9" s="40" t="s">
        <v>272</v>
      </c>
    </row>
    <row r="10" spans="1:46" x14ac:dyDescent="0.3">
      <c r="A10" s="304"/>
      <c r="B10" s="304"/>
      <c r="C10" s="305"/>
      <c r="D10" s="7" t="s">
        <v>343</v>
      </c>
      <c r="E10" s="76">
        <v>9810592000114</v>
      </c>
      <c r="F10" s="16">
        <v>30</v>
      </c>
      <c r="G10" s="8" t="s">
        <v>16</v>
      </c>
      <c r="H10" s="113" t="s">
        <v>271</v>
      </c>
      <c r="I10" s="26" t="s">
        <v>35</v>
      </c>
      <c r="J10" s="26" t="s">
        <v>77</v>
      </c>
      <c r="K10" s="67">
        <v>15000</v>
      </c>
      <c r="L10" s="131">
        <f t="shared" si="4"/>
        <v>3900</v>
      </c>
      <c r="M10" s="157">
        <f t="shared" si="0"/>
        <v>0.12</v>
      </c>
      <c r="N10" s="131">
        <f t="shared" si="5"/>
        <v>9000</v>
      </c>
      <c r="O10" s="132">
        <f t="shared" si="1"/>
        <v>0.46</v>
      </c>
      <c r="P10" s="73">
        <v>2100</v>
      </c>
      <c r="Q10" s="56">
        <f t="shared" si="6"/>
        <v>328.99999999999977</v>
      </c>
      <c r="R10" s="112">
        <f t="shared" si="2"/>
        <v>1771.0000000000002</v>
      </c>
      <c r="S10" s="57">
        <f>450*1.1</f>
        <v>495.00000000000006</v>
      </c>
      <c r="T10" s="57">
        <f>800*1.1</f>
        <v>880.00000000000011</v>
      </c>
      <c r="U10" s="52">
        <f t="shared" si="3"/>
        <v>29.333333333333336</v>
      </c>
      <c r="V10" s="52">
        <v>275</v>
      </c>
      <c r="W10" s="52">
        <v>121</v>
      </c>
      <c r="X10" s="52"/>
      <c r="Y10" s="41" t="s">
        <v>122</v>
      </c>
      <c r="Z10" s="40" t="s">
        <v>272</v>
      </c>
    </row>
    <row r="11" spans="1:46" x14ac:dyDescent="0.3">
      <c r="A11" s="304"/>
      <c r="B11" s="304"/>
      <c r="C11" s="305"/>
      <c r="D11" s="7" t="s">
        <v>344</v>
      </c>
      <c r="E11" s="76">
        <v>9810592000113</v>
      </c>
      <c r="F11" s="16">
        <v>30</v>
      </c>
      <c r="G11" s="8" t="s">
        <v>16</v>
      </c>
      <c r="H11" s="113" t="s">
        <v>271</v>
      </c>
      <c r="I11" s="26" t="s">
        <v>35</v>
      </c>
      <c r="J11" s="26" t="s">
        <v>77</v>
      </c>
      <c r="K11" s="67">
        <v>15000</v>
      </c>
      <c r="L11" s="131">
        <f t="shared" si="4"/>
        <v>3900</v>
      </c>
      <c r="M11" s="157">
        <f t="shared" si="0"/>
        <v>0.13333333333333333</v>
      </c>
      <c r="N11" s="131">
        <f t="shared" si="5"/>
        <v>9000</v>
      </c>
      <c r="O11" s="132">
        <f t="shared" si="1"/>
        <v>0.47333333333333333</v>
      </c>
      <c r="P11" s="73">
        <v>1900</v>
      </c>
      <c r="Q11" s="56">
        <f t="shared" si="6"/>
        <v>128.99999999999977</v>
      </c>
      <c r="R11" s="112">
        <f t="shared" si="2"/>
        <v>1771.0000000000002</v>
      </c>
      <c r="S11" s="57">
        <f>450*1.1</f>
        <v>495.00000000000006</v>
      </c>
      <c r="T11" s="57">
        <f>800*1.1</f>
        <v>880.00000000000011</v>
      </c>
      <c r="U11" s="52">
        <f t="shared" si="3"/>
        <v>29.333333333333336</v>
      </c>
      <c r="V11" s="52">
        <v>275</v>
      </c>
      <c r="W11" s="52">
        <v>121</v>
      </c>
      <c r="X11" s="52"/>
      <c r="Y11" s="41" t="s">
        <v>122</v>
      </c>
      <c r="Z11" s="40" t="s">
        <v>272</v>
      </c>
    </row>
    <row r="12" spans="1:46" x14ac:dyDescent="0.3">
      <c r="A12" s="304"/>
      <c r="B12" s="304"/>
      <c r="C12" s="305"/>
      <c r="D12" s="7" t="s">
        <v>345</v>
      </c>
      <c r="E12" s="76">
        <v>9810592000187</v>
      </c>
      <c r="F12" s="12">
        <v>30</v>
      </c>
      <c r="G12" s="8" t="s">
        <v>16</v>
      </c>
      <c r="H12" s="26" t="s">
        <v>12</v>
      </c>
      <c r="I12" s="26" t="s">
        <v>11</v>
      </c>
      <c r="J12" s="26" t="s">
        <v>516</v>
      </c>
      <c r="K12" s="67">
        <v>7000</v>
      </c>
      <c r="L12" s="131">
        <f t="shared" si="4"/>
        <v>1820</v>
      </c>
      <c r="M12" s="157">
        <f t="shared" si="0"/>
        <v>8.8571428571428565E-2</v>
      </c>
      <c r="N12" s="131">
        <f t="shared" si="5"/>
        <v>4200</v>
      </c>
      <c r="O12" s="132">
        <f t="shared" si="1"/>
        <v>0.42857142857142855</v>
      </c>
      <c r="P12" s="73">
        <v>1200</v>
      </c>
      <c r="Q12" s="56">
        <f t="shared" si="6"/>
        <v>103</v>
      </c>
      <c r="R12" s="48">
        <f t="shared" si="2"/>
        <v>1097</v>
      </c>
      <c r="S12" s="52">
        <v>170</v>
      </c>
      <c r="T12" s="52">
        <v>440</v>
      </c>
      <c r="U12" s="52">
        <f t="shared" si="3"/>
        <v>14.666666666666666</v>
      </c>
      <c r="V12" s="52">
        <v>330</v>
      </c>
      <c r="W12" s="52">
        <v>157</v>
      </c>
      <c r="X12" s="52"/>
      <c r="Y12" s="43" t="s">
        <v>123</v>
      </c>
      <c r="AC12" s="168">
        <f>SUM(AD12:AR12)</f>
        <v>1096.4000000000001</v>
      </c>
      <c r="AD12" s="172">
        <v>440</v>
      </c>
      <c r="AE12" s="168">
        <v>110</v>
      </c>
      <c r="AF12" s="168">
        <v>330</v>
      </c>
      <c r="AG12" s="168">
        <v>0</v>
      </c>
      <c r="AH12" s="168"/>
      <c r="AI12" s="168"/>
      <c r="AJ12" s="168"/>
      <c r="AK12" s="170">
        <v>157</v>
      </c>
      <c r="AL12" s="170"/>
      <c r="AM12" s="168"/>
      <c r="AN12" s="170"/>
      <c r="AO12" s="168"/>
      <c r="AP12" s="168"/>
      <c r="AQ12" s="168">
        <f>X12/1.1</f>
        <v>0</v>
      </c>
      <c r="AR12" s="171">
        <v>59.4</v>
      </c>
      <c r="AS12" s="194"/>
      <c r="AT12" s="194"/>
    </row>
    <row r="13" spans="1:46" x14ac:dyDescent="0.3">
      <c r="A13" s="304"/>
      <c r="B13" s="304"/>
      <c r="C13" s="305"/>
      <c r="D13" s="7" t="s">
        <v>346</v>
      </c>
      <c r="E13" s="76">
        <v>9810592000188</v>
      </c>
      <c r="F13" s="16">
        <v>30</v>
      </c>
      <c r="G13" s="8" t="s">
        <v>16</v>
      </c>
      <c r="H13" s="26" t="s">
        <v>13</v>
      </c>
      <c r="I13" s="26" t="s">
        <v>35</v>
      </c>
      <c r="J13" s="26" t="s">
        <v>77</v>
      </c>
      <c r="K13" s="67">
        <v>12000</v>
      </c>
      <c r="L13" s="131">
        <f t="shared" si="4"/>
        <v>3120</v>
      </c>
      <c r="M13" s="157">
        <f t="shared" si="0"/>
        <v>0.10166666666666667</v>
      </c>
      <c r="N13" s="131">
        <f t="shared" si="5"/>
        <v>7200</v>
      </c>
      <c r="O13" s="132">
        <f t="shared" si="1"/>
        <v>0.44166666666666665</v>
      </c>
      <c r="P13" s="73">
        <v>1900</v>
      </c>
      <c r="Q13" s="56">
        <f t="shared" si="6"/>
        <v>151</v>
      </c>
      <c r="R13" s="48">
        <f t="shared" si="2"/>
        <v>1749</v>
      </c>
      <c r="S13" s="52">
        <v>730</v>
      </c>
      <c r="T13" s="52">
        <v>480</v>
      </c>
      <c r="U13" s="52">
        <f t="shared" si="3"/>
        <v>16</v>
      </c>
      <c r="V13" s="52">
        <v>352</v>
      </c>
      <c r="W13" s="52">
        <v>187</v>
      </c>
      <c r="X13" s="52"/>
      <c r="Y13" s="41" t="s">
        <v>124</v>
      </c>
    </row>
    <row r="14" spans="1:46" x14ac:dyDescent="0.3">
      <c r="A14" s="304"/>
      <c r="B14" s="304"/>
      <c r="C14" s="305"/>
      <c r="D14" s="7" t="s">
        <v>347</v>
      </c>
      <c r="E14" s="76">
        <v>9810592000189</v>
      </c>
      <c r="F14" s="16">
        <v>30</v>
      </c>
      <c r="G14" s="8" t="s">
        <v>16</v>
      </c>
      <c r="H14" s="26" t="s">
        <v>13</v>
      </c>
      <c r="I14" s="26" t="s">
        <v>35</v>
      </c>
      <c r="J14" s="26" t="s">
        <v>77</v>
      </c>
      <c r="K14" s="67">
        <v>12000</v>
      </c>
      <c r="L14" s="131">
        <f t="shared" si="4"/>
        <v>3120</v>
      </c>
      <c r="M14" s="157">
        <f t="shared" si="0"/>
        <v>0.10166666666666667</v>
      </c>
      <c r="N14" s="131">
        <f t="shared" si="5"/>
        <v>7200</v>
      </c>
      <c r="O14" s="132">
        <f t="shared" si="1"/>
        <v>0.44166666666666665</v>
      </c>
      <c r="P14" s="73">
        <v>1900</v>
      </c>
      <c r="Q14" s="56">
        <f t="shared" si="6"/>
        <v>151</v>
      </c>
      <c r="R14" s="48">
        <f t="shared" si="2"/>
        <v>1749</v>
      </c>
      <c r="S14" s="52">
        <v>730</v>
      </c>
      <c r="T14" s="52">
        <v>480</v>
      </c>
      <c r="U14" s="52">
        <f t="shared" si="3"/>
        <v>16</v>
      </c>
      <c r="V14" s="52">
        <v>352</v>
      </c>
      <c r="W14" s="52">
        <v>187</v>
      </c>
      <c r="X14" s="52"/>
      <c r="Y14" s="41" t="s">
        <v>124</v>
      </c>
    </row>
    <row r="15" spans="1:46" x14ac:dyDescent="0.3">
      <c r="A15" s="304"/>
      <c r="B15" s="304"/>
      <c r="C15" s="305" t="s">
        <v>85</v>
      </c>
      <c r="D15" s="7" t="s">
        <v>348</v>
      </c>
      <c r="E15" s="76">
        <v>9810592000090</v>
      </c>
      <c r="F15" s="16">
        <v>14</v>
      </c>
      <c r="G15" s="8" t="s">
        <v>8</v>
      </c>
      <c r="H15" s="26" t="s">
        <v>13</v>
      </c>
      <c r="I15" s="26" t="s">
        <v>14</v>
      </c>
      <c r="J15" s="26" t="s">
        <v>76</v>
      </c>
      <c r="K15" s="67">
        <v>21000</v>
      </c>
      <c r="L15" s="131">
        <f t="shared" si="4"/>
        <v>5460</v>
      </c>
      <c r="M15" s="157">
        <f t="shared" si="0"/>
        <v>6.4761904761904757E-2</v>
      </c>
      <c r="N15" s="131">
        <f t="shared" si="5"/>
        <v>12600</v>
      </c>
      <c r="O15" s="132">
        <f t="shared" si="1"/>
        <v>0.40476190476190477</v>
      </c>
      <c r="P15" s="73">
        <v>4100</v>
      </c>
      <c r="Q15" s="56">
        <f t="shared" si="6"/>
        <v>151</v>
      </c>
      <c r="R15" s="48">
        <f t="shared" si="2"/>
        <v>3949</v>
      </c>
      <c r="S15" s="52">
        <v>920</v>
      </c>
      <c r="T15" s="52">
        <v>488</v>
      </c>
      <c r="U15" s="52">
        <f t="shared" si="3"/>
        <v>34.857142857142854</v>
      </c>
      <c r="V15" s="52">
        <v>1760</v>
      </c>
      <c r="W15" s="52">
        <v>187</v>
      </c>
      <c r="X15" s="53">
        <f>350*1.1+140*1.1+20*1.1+30*1.1</f>
        <v>594</v>
      </c>
      <c r="Y15" s="43" t="s">
        <v>169</v>
      </c>
      <c r="AC15" s="172">
        <f t="shared" ref="AC15:AC29" si="7">SUM(AD15:AR15)</f>
        <v>3949</v>
      </c>
      <c r="AD15" s="172">
        <v>770</v>
      </c>
      <c r="AE15" s="172">
        <v>638</v>
      </c>
      <c r="AF15" s="172">
        <f>(1300+300)*1.1</f>
        <v>1760.0000000000002</v>
      </c>
      <c r="AG15" s="168"/>
      <c r="AH15" s="168"/>
      <c r="AI15" s="168"/>
      <c r="AJ15" s="168"/>
      <c r="AK15" s="170">
        <v>187</v>
      </c>
      <c r="AL15" s="170"/>
      <c r="AM15" s="168">
        <v>22</v>
      </c>
      <c r="AN15" s="170"/>
      <c r="AO15" s="168">
        <v>385</v>
      </c>
      <c r="AP15" s="195">
        <v>154</v>
      </c>
      <c r="AQ15" s="168">
        <v>0</v>
      </c>
      <c r="AR15" s="171">
        <v>33</v>
      </c>
      <c r="AS15" s="194" t="s">
        <v>524</v>
      </c>
      <c r="AT15" s="194">
        <v>-22</v>
      </c>
    </row>
    <row r="16" spans="1:46" x14ac:dyDescent="0.3">
      <c r="A16" s="304"/>
      <c r="B16" s="304"/>
      <c r="C16" s="305"/>
      <c r="D16" s="7" t="s">
        <v>349</v>
      </c>
      <c r="E16" s="76">
        <v>9810592000089</v>
      </c>
      <c r="F16" s="16">
        <v>14</v>
      </c>
      <c r="G16" s="8" t="s">
        <v>8</v>
      </c>
      <c r="H16" s="26" t="s">
        <v>13</v>
      </c>
      <c r="I16" s="26" t="s">
        <v>14</v>
      </c>
      <c r="J16" s="26" t="s">
        <v>76</v>
      </c>
      <c r="K16" s="67">
        <v>21000</v>
      </c>
      <c r="L16" s="131">
        <f t="shared" si="4"/>
        <v>5460</v>
      </c>
      <c r="M16" s="157">
        <f t="shared" si="0"/>
        <v>6.4761904761904757E-2</v>
      </c>
      <c r="N16" s="131">
        <f t="shared" si="5"/>
        <v>12600</v>
      </c>
      <c r="O16" s="132">
        <f t="shared" si="1"/>
        <v>0.40476190476190477</v>
      </c>
      <c r="P16" s="73">
        <v>4100</v>
      </c>
      <c r="Q16" s="56">
        <f t="shared" si="6"/>
        <v>151</v>
      </c>
      <c r="R16" s="48">
        <f t="shared" si="2"/>
        <v>3949</v>
      </c>
      <c r="S16" s="52">
        <v>920</v>
      </c>
      <c r="T16" s="52">
        <v>488</v>
      </c>
      <c r="U16" s="52">
        <f t="shared" si="3"/>
        <v>34.857142857142854</v>
      </c>
      <c r="V16" s="52">
        <v>1760</v>
      </c>
      <c r="W16" s="52">
        <v>187</v>
      </c>
      <c r="X16" s="53">
        <f>350*1.1+140*1.1+20*1.1+30*1.1</f>
        <v>594</v>
      </c>
      <c r="Y16" s="43" t="s">
        <v>169</v>
      </c>
      <c r="AC16" s="172">
        <f t="shared" si="7"/>
        <v>3949</v>
      </c>
      <c r="AD16" s="172">
        <v>770</v>
      </c>
      <c r="AE16" s="172">
        <v>638</v>
      </c>
      <c r="AF16" s="172">
        <f>(1300+300)*1.1</f>
        <v>1760.0000000000002</v>
      </c>
      <c r="AG16" s="168"/>
      <c r="AH16" s="168"/>
      <c r="AI16" s="168"/>
      <c r="AJ16" s="168"/>
      <c r="AK16" s="170">
        <v>187</v>
      </c>
      <c r="AL16" s="170"/>
      <c r="AM16" s="168">
        <v>22</v>
      </c>
      <c r="AN16" s="170"/>
      <c r="AO16" s="168">
        <v>385</v>
      </c>
      <c r="AP16" s="195">
        <v>154</v>
      </c>
      <c r="AQ16" s="168">
        <v>0</v>
      </c>
      <c r="AR16" s="171">
        <v>33</v>
      </c>
      <c r="AS16" s="194" t="s">
        <v>524</v>
      </c>
      <c r="AT16" s="194">
        <v>-22</v>
      </c>
    </row>
    <row r="17" spans="1:46" x14ac:dyDescent="0.3">
      <c r="A17" s="304"/>
      <c r="B17" s="304" t="s">
        <v>15</v>
      </c>
      <c r="C17" s="296" t="s">
        <v>83</v>
      </c>
      <c r="D17" s="18" t="s">
        <v>350</v>
      </c>
      <c r="E17" s="76">
        <v>9810592000388</v>
      </c>
      <c r="F17" s="11">
        <v>0.55000000000000004</v>
      </c>
      <c r="G17" s="8" t="s">
        <v>16</v>
      </c>
      <c r="H17" s="26" t="s">
        <v>81</v>
      </c>
      <c r="I17" s="26" t="s">
        <v>81</v>
      </c>
      <c r="J17" s="26" t="s">
        <v>78</v>
      </c>
      <c r="K17" s="67">
        <v>9000</v>
      </c>
      <c r="L17" s="131">
        <f t="shared" si="4"/>
        <v>2340</v>
      </c>
      <c r="M17" s="157">
        <f t="shared" si="0"/>
        <v>7.1111111111111111E-2</v>
      </c>
      <c r="N17" s="131">
        <f t="shared" si="5"/>
        <v>5400</v>
      </c>
      <c r="O17" s="132">
        <f t="shared" si="1"/>
        <v>0.41111111111111109</v>
      </c>
      <c r="P17" s="73">
        <v>1700</v>
      </c>
      <c r="Q17" s="56">
        <f t="shared" si="6"/>
        <v>130</v>
      </c>
      <c r="R17" s="48">
        <f t="shared" si="2"/>
        <v>1570</v>
      </c>
      <c r="S17" s="52">
        <v>710</v>
      </c>
      <c r="T17" s="52">
        <v>220</v>
      </c>
      <c r="U17" s="52">
        <f t="shared" si="3"/>
        <v>399.99999999999994</v>
      </c>
      <c r="V17" s="52">
        <v>500</v>
      </c>
      <c r="W17" s="53">
        <v>140</v>
      </c>
      <c r="X17" s="52">
        <v>0</v>
      </c>
      <c r="Y17" s="41" t="s">
        <v>124</v>
      </c>
      <c r="AA17" s="40" t="s">
        <v>15</v>
      </c>
      <c r="AB17" s="40">
        <v>22</v>
      </c>
      <c r="AC17" s="168">
        <f t="shared" si="7"/>
        <v>1570</v>
      </c>
      <c r="AD17" s="168">
        <v>220</v>
      </c>
      <c r="AE17" s="168">
        <v>220</v>
      </c>
      <c r="AF17" s="173">
        <v>990</v>
      </c>
      <c r="AG17" s="168"/>
      <c r="AH17" s="168"/>
      <c r="AI17" s="168"/>
      <c r="AJ17" s="168"/>
      <c r="AK17" s="170">
        <v>140</v>
      </c>
      <c r="AL17" s="170"/>
      <c r="AM17" s="168"/>
      <c r="AN17" s="170"/>
      <c r="AO17" s="168"/>
      <c r="AP17" s="168"/>
      <c r="AQ17" s="168">
        <f>X17/1.1</f>
        <v>0</v>
      </c>
      <c r="AR17" s="171"/>
      <c r="AS17" s="194"/>
      <c r="AT17" s="194"/>
    </row>
    <row r="18" spans="1:46" x14ac:dyDescent="0.3">
      <c r="A18" s="304"/>
      <c r="B18" s="304"/>
      <c r="C18" s="296"/>
      <c r="D18" s="18" t="s">
        <v>351</v>
      </c>
      <c r="E18" s="76">
        <v>9810592000389</v>
      </c>
      <c r="F18" s="11">
        <v>0.55000000000000004</v>
      </c>
      <c r="G18" s="8" t="s">
        <v>16</v>
      </c>
      <c r="H18" s="26" t="s">
        <v>81</v>
      </c>
      <c r="I18" s="26" t="s">
        <v>81</v>
      </c>
      <c r="J18" s="26" t="s">
        <v>78</v>
      </c>
      <c r="K18" s="67">
        <v>9000</v>
      </c>
      <c r="L18" s="131">
        <f t="shared" si="4"/>
        <v>2340</v>
      </c>
      <c r="M18" s="157">
        <f t="shared" si="0"/>
        <v>7.1111111111111111E-2</v>
      </c>
      <c r="N18" s="131">
        <f t="shared" si="5"/>
        <v>5400</v>
      </c>
      <c r="O18" s="132">
        <f t="shared" si="1"/>
        <v>0.41111111111111109</v>
      </c>
      <c r="P18" s="73">
        <v>1700</v>
      </c>
      <c r="Q18" s="56">
        <f t="shared" si="6"/>
        <v>116</v>
      </c>
      <c r="R18" s="48">
        <f t="shared" si="2"/>
        <v>1584</v>
      </c>
      <c r="S18" s="52">
        <v>710</v>
      </c>
      <c r="T18" s="52">
        <v>220</v>
      </c>
      <c r="U18" s="52">
        <f t="shared" si="3"/>
        <v>399.99999999999994</v>
      </c>
      <c r="V18" s="52">
        <v>500</v>
      </c>
      <c r="W18" s="52">
        <v>154</v>
      </c>
      <c r="X18" s="52">
        <v>0</v>
      </c>
      <c r="Y18" s="41" t="s">
        <v>124</v>
      </c>
      <c r="AC18" s="168">
        <f t="shared" si="7"/>
        <v>1584</v>
      </c>
      <c r="AD18" s="168">
        <v>220</v>
      </c>
      <c r="AE18" s="168">
        <v>220</v>
      </c>
      <c r="AF18" s="173">
        <v>990</v>
      </c>
      <c r="AG18" s="168"/>
      <c r="AH18" s="168"/>
      <c r="AI18" s="168"/>
      <c r="AJ18" s="168"/>
      <c r="AK18" s="170">
        <v>154</v>
      </c>
      <c r="AL18" s="170"/>
      <c r="AM18" s="168"/>
      <c r="AN18" s="170"/>
      <c r="AO18" s="168"/>
      <c r="AP18" s="168"/>
      <c r="AQ18" s="168">
        <f>X18/1.1</f>
        <v>0</v>
      </c>
      <c r="AR18" s="171"/>
      <c r="AS18" s="194"/>
      <c r="AT18" s="194"/>
    </row>
    <row r="19" spans="1:46" x14ac:dyDescent="0.3">
      <c r="A19" s="304"/>
      <c r="B19" s="304"/>
      <c r="C19" s="296" t="s">
        <v>17</v>
      </c>
      <c r="D19" s="18" t="s">
        <v>352</v>
      </c>
      <c r="E19" s="76">
        <v>9810592000075</v>
      </c>
      <c r="F19" s="11">
        <v>0.5</v>
      </c>
      <c r="G19" s="8" t="s">
        <v>8</v>
      </c>
      <c r="H19" s="26" t="s">
        <v>81</v>
      </c>
      <c r="I19" s="26" t="s">
        <v>81</v>
      </c>
      <c r="J19" s="26"/>
      <c r="K19" s="67">
        <v>7000</v>
      </c>
      <c r="L19" s="131">
        <f t="shared" si="4"/>
        <v>1820</v>
      </c>
      <c r="M19" s="157">
        <f t="shared" si="0"/>
        <v>8.8571428571428565E-2</v>
      </c>
      <c r="N19" s="131">
        <f t="shared" si="5"/>
        <v>4200</v>
      </c>
      <c r="O19" s="132">
        <f t="shared" si="1"/>
        <v>0.42857142857142855</v>
      </c>
      <c r="P19" s="73">
        <v>1200</v>
      </c>
      <c r="Q19" s="56">
        <f t="shared" si="6"/>
        <v>177</v>
      </c>
      <c r="R19" s="48">
        <f t="shared" si="2"/>
        <v>1023</v>
      </c>
      <c r="S19" s="52">
        <v>460</v>
      </c>
      <c r="T19" s="52">
        <v>110</v>
      </c>
      <c r="U19" s="52">
        <f t="shared" si="3"/>
        <v>220</v>
      </c>
      <c r="V19" s="52">
        <v>440</v>
      </c>
      <c r="W19" s="52">
        <v>0</v>
      </c>
      <c r="X19" s="53">
        <v>13</v>
      </c>
      <c r="Y19" s="43" t="s">
        <v>108</v>
      </c>
      <c r="AC19" s="168">
        <f t="shared" si="7"/>
        <v>1023.2</v>
      </c>
      <c r="AD19" s="168">
        <v>110</v>
      </c>
      <c r="AE19" s="195">
        <f>440-2</f>
        <v>438</v>
      </c>
      <c r="AF19" s="173">
        <v>462</v>
      </c>
      <c r="AG19" s="168"/>
      <c r="AH19" s="168"/>
      <c r="AI19" s="168"/>
      <c r="AJ19" s="168"/>
      <c r="AK19" s="170"/>
      <c r="AL19" s="170">
        <v>13.2</v>
      </c>
      <c r="AM19" s="168"/>
      <c r="AN19" s="170"/>
      <c r="AO19" s="168"/>
      <c r="AP19" s="168"/>
      <c r="AQ19" s="168">
        <v>0</v>
      </c>
      <c r="AR19" s="171"/>
      <c r="AS19" s="194" t="s">
        <v>525</v>
      </c>
      <c r="AT19" s="194">
        <v>-9</v>
      </c>
    </row>
    <row r="20" spans="1:46" x14ac:dyDescent="0.3">
      <c r="A20" s="304"/>
      <c r="B20" s="304"/>
      <c r="C20" s="296"/>
      <c r="D20" s="18" t="s">
        <v>353</v>
      </c>
      <c r="E20" s="76">
        <v>9810592000068</v>
      </c>
      <c r="F20" s="11">
        <v>0.5</v>
      </c>
      <c r="G20" s="8" t="s">
        <v>8</v>
      </c>
      <c r="H20" s="26" t="s">
        <v>81</v>
      </c>
      <c r="I20" s="26" t="s">
        <v>81</v>
      </c>
      <c r="J20" s="26"/>
      <c r="K20" s="67">
        <v>7000</v>
      </c>
      <c r="L20" s="131">
        <f t="shared" si="4"/>
        <v>1820</v>
      </c>
      <c r="M20" s="157">
        <f t="shared" si="0"/>
        <v>8.8571428571428565E-2</v>
      </c>
      <c r="N20" s="131">
        <f t="shared" si="5"/>
        <v>4200</v>
      </c>
      <c r="O20" s="132">
        <f t="shared" si="1"/>
        <v>0.42857142857142855</v>
      </c>
      <c r="P20" s="73">
        <v>1200</v>
      </c>
      <c r="Q20" s="56">
        <f t="shared" si="6"/>
        <v>177</v>
      </c>
      <c r="R20" s="48">
        <f t="shared" si="2"/>
        <v>1023</v>
      </c>
      <c r="S20" s="52">
        <v>460</v>
      </c>
      <c r="T20" s="52">
        <v>110</v>
      </c>
      <c r="U20" s="52">
        <f t="shared" si="3"/>
        <v>220</v>
      </c>
      <c r="V20" s="52">
        <v>440</v>
      </c>
      <c r="W20" s="52">
        <v>0</v>
      </c>
      <c r="X20" s="53">
        <v>13</v>
      </c>
      <c r="Y20" s="43" t="s">
        <v>107</v>
      </c>
      <c r="AC20" s="168">
        <f t="shared" si="7"/>
        <v>1023.2</v>
      </c>
      <c r="AD20" s="168">
        <v>110</v>
      </c>
      <c r="AE20" s="195">
        <f t="shared" ref="AE20:AE29" si="8">440-2</f>
        <v>438</v>
      </c>
      <c r="AF20" s="173">
        <v>462</v>
      </c>
      <c r="AG20" s="168"/>
      <c r="AH20" s="168"/>
      <c r="AI20" s="168"/>
      <c r="AJ20" s="168"/>
      <c r="AK20" s="170"/>
      <c r="AL20" s="170">
        <v>13.2</v>
      </c>
      <c r="AM20" s="168"/>
      <c r="AN20" s="170"/>
      <c r="AO20" s="168"/>
      <c r="AP20" s="168"/>
      <c r="AQ20" s="168">
        <v>0</v>
      </c>
      <c r="AR20" s="171"/>
      <c r="AS20" s="194" t="s">
        <v>525</v>
      </c>
      <c r="AT20" s="194">
        <v>-9</v>
      </c>
    </row>
    <row r="21" spans="1:46" x14ac:dyDescent="0.3">
      <c r="A21" s="304"/>
      <c r="B21" s="304"/>
      <c r="C21" s="296"/>
      <c r="D21" s="18" t="s">
        <v>354</v>
      </c>
      <c r="E21" s="76">
        <v>9810592000080</v>
      </c>
      <c r="F21" s="11">
        <v>0.5</v>
      </c>
      <c r="G21" s="8" t="s">
        <v>8</v>
      </c>
      <c r="H21" s="26" t="s">
        <v>81</v>
      </c>
      <c r="I21" s="26" t="s">
        <v>81</v>
      </c>
      <c r="J21" s="26"/>
      <c r="K21" s="67">
        <v>7000</v>
      </c>
      <c r="L21" s="131">
        <f t="shared" si="4"/>
        <v>1820</v>
      </c>
      <c r="M21" s="157">
        <f t="shared" si="0"/>
        <v>8.8571428571428565E-2</v>
      </c>
      <c r="N21" s="131">
        <f t="shared" si="5"/>
        <v>4200</v>
      </c>
      <c r="O21" s="132">
        <f t="shared" si="1"/>
        <v>0.42857142857142855</v>
      </c>
      <c r="P21" s="73">
        <v>1200</v>
      </c>
      <c r="Q21" s="56">
        <f t="shared" si="6"/>
        <v>177</v>
      </c>
      <c r="R21" s="48">
        <f t="shared" si="2"/>
        <v>1023</v>
      </c>
      <c r="S21" s="52">
        <v>460</v>
      </c>
      <c r="T21" s="52">
        <v>110</v>
      </c>
      <c r="U21" s="52">
        <f t="shared" si="3"/>
        <v>220</v>
      </c>
      <c r="V21" s="52">
        <v>440</v>
      </c>
      <c r="W21" s="52">
        <v>0</v>
      </c>
      <c r="X21" s="53">
        <v>13</v>
      </c>
      <c r="Y21" s="43" t="s">
        <v>107</v>
      </c>
      <c r="AC21" s="168">
        <f t="shared" si="7"/>
        <v>1023.2</v>
      </c>
      <c r="AD21" s="168">
        <v>110</v>
      </c>
      <c r="AE21" s="195">
        <f t="shared" si="8"/>
        <v>438</v>
      </c>
      <c r="AF21" s="173">
        <v>462</v>
      </c>
      <c r="AG21" s="168"/>
      <c r="AH21" s="168"/>
      <c r="AI21" s="168"/>
      <c r="AJ21" s="168"/>
      <c r="AK21" s="170"/>
      <c r="AL21" s="170">
        <v>13.2</v>
      </c>
      <c r="AM21" s="168"/>
      <c r="AN21" s="170"/>
      <c r="AO21" s="168"/>
      <c r="AP21" s="168"/>
      <c r="AQ21" s="168">
        <v>0</v>
      </c>
      <c r="AR21" s="171"/>
      <c r="AS21" s="194" t="s">
        <v>525</v>
      </c>
      <c r="AT21" s="194">
        <v>-9</v>
      </c>
    </row>
    <row r="22" spans="1:46" x14ac:dyDescent="0.3">
      <c r="A22" s="304"/>
      <c r="B22" s="304"/>
      <c r="C22" s="296"/>
      <c r="D22" s="18" t="s">
        <v>355</v>
      </c>
      <c r="E22" s="76">
        <v>9810592000076</v>
      </c>
      <c r="F22" s="11">
        <v>0.5</v>
      </c>
      <c r="G22" s="8" t="s">
        <v>8</v>
      </c>
      <c r="H22" s="26" t="s">
        <v>81</v>
      </c>
      <c r="I22" s="26" t="s">
        <v>81</v>
      </c>
      <c r="J22" s="26"/>
      <c r="K22" s="67">
        <v>7000</v>
      </c>
      <c r="L22" s="131">
        <f t="shared" si="4"/>
        <v>1820</v>
      </c>
      <c r="M22" s="157">
        <f t="shared" si="0"/>
        <v>8.8571428571428565E-2</v>
      </c>
      <c r="N22" s="131">
        <f t="shared" si="5"/>
        <v>4200</v>
      </c>
      <c r="O22" s="132">
        <f t="shared" si="1"/>
        <v>0.42857142857142855</v>
      </c>
      <c r="P22" s="73">
        <v>1200</v>
      </c>
      <c r="Q22" s="56">
        <f t="shared" si="6"/>
        <v>177</v>
      </c>
      <c r="R22" s="48">
        <f t="shared" si="2"/>
        <v>1023</v>
      </c>
      <c r="S22" s="52">
        <v>460</v>
      </c>
      <c r="T22" s="52">
        <v>110</v>
      </c>
      <c r="U22" s="52">
        <f t="shared" si="3"/>
        <v>220</v>
      </c>
      <c r="V22" s="52">
        <v>440</v>
      </c>
      <c r="W22" s="52">
        <v>0</v>
      </c>
      <c r="X22" s="53">
        <v>13</v>
      </c>
      <c r="Y22" s="43" t="s">
        <v>107</v>
      </c>
      <c r="AC22" s="168">
        <f t="shared" si="7"/>
        <v>1023.2</v>
      </c>
      <c r="AD22" s="168">
        <v>110</v>
      </c>
      <c r="AE22" s="195">
        <f t="shared" si="8"/>
        <v>438</v>
      </c>
      <c r="AF22" s="173">
        <v>462</v>
      </c>
      <c r="AG22" s="168"/>
      <c r="AH22" s="168"/>
      <c r="AI22" s="168"/>
      <c r="AJ22" s="168"/>
      <c r="AK22" s="170"/>
      <c r="AL22" s="170">
        <v>13.2</v>
      </c>
      <c r="AM22" s="168"/>
      <c r="AN22" s="170"/>
      <c r="AO22" s="168"/>
      <c r="AP22" s="168"/>
      <c r="AQ22" s="168">
        <v>0</v>
      </c>
      <c r="AR22" s="171"/>
      <c r="AS22" s="194" t="s">
        <v>525</v>
      </c>
      <c r="AT22" s="194">
        <v>-9</v>
      </c>
    </row>
    <row r="23" spans="1:46" x14ac:dyDescent="0.3">
      <c r="A23" s="304"/>
      <c r="B23" s="304"/>
      <c r="C23" s="296"/>
      <c r="D23" s="18" t="s">
        <v>356</v>
      </c>
      <c r="E23" s="76">
        <v>9810592000077</v>
      </c>
      <c r="F23" s="11">
        <v>0.5</v>
      </c>
      <c r="G23" s="8" t="s">
        <v>8</v>
      </c>
      <c r="H23" s="26" t="s">
        <v>81</v>
      </c>
      <c r="I23" s="26" t="s">
        <v>81</v>
      </c>
      <c r="J23" s="26"/>
      <c r="K23" s="67">
        <v>7000</v>
      </c>
      <c r="L23" s="131">
        <f t="shared" si="4"/>
        <v>1820</v>
      </c>
      <c r="M23" s="157">
        <f t="shared" si="0"/>
        <v>8.8571428571428565E-2</v>
      </c>
      <c r="N23" s="131">
        <f t="shared" si="5"/>
        <v>4200</v>
      </c>
      <c r="O23" s="132">
        <f t="shared" si="1"/>
        <v>0.42857142857142855</v>
      </c>
      <c r="P23" s="73">
        <v>1200</v>
      </c>
      <c r="Q23" s="56">
        <f t="shared" si="6"/>
        <v>177</v>
      </c>
      <c r="R23" s="48">
        <f t="shared" si="2"/>
        <v>1023</v>
      </c>
      <c r="S23" s="52">
        <v>460</v>
      </c>
      <c r="T23" s="52">
        <v>110</v>
      </c>
      <c r="U23" s="52">
        <f t="shared" si="3"/>
        <v>220</v>
      </c>
      <c r="V23" s="52">
        <v>440</v>
      </c>
      <c r="W23" s="52">
        <v>0</v>
      </c>
      <c r="X23" s="53">
        <v>13</v>
      </c>
      <c r="Y23" s="43" t="s">
        <v>107</v>
      </c>
      <c r="AC23" s="168">
        <f t="shared" si="7"/>
        <v>1023.2</v>
      </c>
      <c r="AD23" s="168">
        <v>110</v>
      </c>
      <c r="AE23" s="195">
        <f t="shared" si="8"/>
        <v>438</v>
      </c>
      <c r="AF23" s="173">
        <v>462</v>
      </c>
      <c r="AG23" s="168"/>
      <c r="AH23" s="168"/>
      <c r="AI23" s="168"/>
      <c r="AJ23" s="168"/>
      <c r="AK23" s="170"/>
      <c r="AL23" s="170">
        <v>13.2</v>
      </c>
      <c r="AM23" s="168"/>
      <c r="AN23" s="170"/>
      <c r="AO23" s="168"/>
      <c r="AP23" s="168"/>
      <c r="AQ23" s="168">
        <v>0</v>
      </c>
      <c r="AR23" s="171"/>
      <c r="AS23" s="194" t="s">
        <v>525</v>
      </c>
      <c r="AT23" s="194">
        <v>-9</v>
      </c>
    </row>
    <row r="24" spans="1:46" x14ac:dyDescent="0.3">
      <c r="A24" s="304"/>
      <c r="B24" s="304"/>
      <c r="C24" s="296"/>
      <c r="D24" s="18" t="s">
        <v>357</v>
      </c>
      <c r="E24" s="76">
        <v>9810592000079</v>
      </c>
      <c r="F24" s="11">
        <v>0.5</v>
      </c>
      <c r="G24" s="8" t="s">
        <v>8</v>
      </c>
      <c r="H24" s="26" t="s">
        <v>81</v>
      </c>
      <c r="I24" s="26" t="s">
        <v>81</v>
      </c>
      <c r="J24" s="26"/>
      <c r="K24" s="67">
        <v>7000</v>
      </c>
      <c r="L24" s="131">
        <f t="shared" si="4"/>
        <v>1820</v>
      </c>
      <c r="M24" s="157">
        <f t="shared" si="0"/>
        <v>8.8571428571428565E-2</v>
      </c>
      <c r="N24" s="131">
        <f t="shared" si="5"/>
        <v>4200</v>
      </c>
      <c r="O24" s="132">
        <f t="shared" si="1"/>
        <v>0.42857142857142855</v>
      </c>
      <c r="P24" s="73">
        <v>1200</v>
      </c>
      <c r="Q24" s="56">
        <f t="shared" si="6"/>
        <v>177</v>
      </c>
      <c r="R24" s="48">
        <f t="shared" si="2"/>
        <v>1023</v>
      </c>
      <c r="S24" s="52">
        <v>460</v>
      </c>
      <c r="T24" s="52">
        <v>110</v>
      </c>
      <c r="U24" s="52">
        <f t="shared" si="3"/>
        <v>220</v>
      </c>
      <c r="V24" s="52">
        <v>440</v>
      </c>
      <c r="W24" s="52">
        <v>0</v>
      </c>
      <c r="X24" s="53">
        <v>13</v>
      </c>
      <c r="Y24" s="43" t="s">
        <v>107</v>
      </c>
      <c r="AC24" s="168">
        <f t="shared" si="7"/>
        <v>1023.2</v>
      </c>
      <c r="AD24" s="168">
        <v>110</v>
      </c>
      <c r="AE24" s="195">
        <f t="shared" si="8"/>
        <v>438</v>
      </c>
      <c r="AF24" s="173">
        <v>462</v>
      </c>
      <c r="AG24" s="168"/>
      <c r="AH24" s="168"/>
      <c r="AI24" s="168"/>
      <c r="AJ24" s="168"/>
      <c r="AK24" s="170"/>
      <c r="AL24" s="170">
        <v>13.2</v>
      </c>
      <c r="AM24" s="168"/>
      <c r="AN24" s="170"/>
      <c r="AO24" s="168"/>
      <c r="AP24" s="168"/>
      <c r="AQ24" s="168">
        <v>0</v>
      </c>
      <c r="AR24" s="171"/>
      <c r="AS24" s="194" t="s">
        <v>525</v>
      </c>
      <c r="AT24" s="194">
        <v>-9</v>
      </c>
    </row>
    <row r="25" spans="1:46" x14ac:dyDescent="0.3">
      <c r="A25" s="304"/>
      <c r="B25" s="304"/>
      <c r="C25" s="296"/>
      <c r="D25" s="18" t="s">
        <v>358</v>
      </c>
      <c r="E25" s="76">
        <v>9810592000070</v>
      </c>
      <c r="F25" s="11">
        <v>0.5</v>
      </c>
      <c r="G25" s="8" t="s">
        <v>8</v>
      </c>
      <c r="H25" s="26" t="s">
        <v>81</v>
      </c>
      <c r="I25" s="26" t="s">
        <v>81</v>
      </c>
      <c r="J25" s="26"/>
      <c r="K25" s="67">
        <v>7000</v>
      </c>
      <c r="L25" s="131">
        <f t="shared" si="4"/>
        <v>1820</v>
      </c>
      <c r="M25" s="157">
        <f t="shared" si="0"/>
        <v>8.8571428571428565E-2</v>
      </c>
      <c r="N25" s="131">
        <f t="shared" si="5"/>
        <v>4200</v>
      </c>
      <c r="O25" s="132">
        <f t="shared" si="1"/>
        <v>0.42857142857142855</v>
      </c>
      <c r="P25" s="73">
        <v>1200</v>
      </c>
      <c r="Q25" s="56">
        <f t="shared" si="6"/>
        <v>177</v>
      </c>
      <c r="R25" s="48">
        <f t="shared" si="2"/>
        <v>1023</v>
      </c>
      <c r="S25" s="52">
        <v>460</v>
      </c>
      <c r="T25" s="52">
        <v>110</v>
      </c>
      <c r="U25" s="52">
        <f t="shared" si="3"/>
        <v>220</v>
      </c>
      <c r="V25" s="52">
        <v>440</v>
      </c>
      <c r="W25" s="52">
        <v>0</v>
      </c>
      <c r="X25" s="53">
        <v>13</v>
      </c>
      <c r="Y25" s="43" t="s">
        <v>107</v>
      </c>
      <c r="AC25" s="168">
        <f t="shared" si="7"/>
        <v>1023.2</v>
      </c>
      <c r="AD25" s="168">
        <v>110</v>
      </c>
      <c r="AE25" s="195">
        <f t="shared" si="8"/>
        <v>438</v>
      </c>
      <c r="AF25" s="173">
        <v>462</v>
      </c>
      <c r="AG25" s="168"/>
      <c r="AH25" s="168"/>
      <c r="AI25" s="168"/>
      <c r="AJ25" s="168"/>
      <c r="AK25" s="170"/>
      <c r="AL25" s="170">
        <v>13.2</v>
      </c>
      <c r="AM25" s="168"/>
      <c r="AN25" s="170"/>
      <c r="AO25" s="168"/>
      <c r="AP25" s="168"/>
      <c r="AQ25" s="168">
        <v>0</v>
      </c>
      <c r="AR25" s="171"/>
      <c r="AS25" s="194" t="s">
        <v>525</v>
      </c>
      <c r="AT25" s="194">
        <v>-9</v>
      </c>
    </row>
    <row r="26" spans="1:46" x14ac:dyDescent="0.3">
      <c r="A26" s="304"/>
      <c r="B26" s="304"/>
      <c r="C26" s="296"/>
      <c r="D26" s="18" t="s">
        <v>359</v>
      </c>
      <c r="E26" s="76">
        <v>9810592000072</v>
      </c>
      <c r="F26" s="11">
        <v>0.5</v>
      </c>
      <c r="G26" s="8" t="s">
        <v>8</v>
      </c>
      <c r="H26" s="26" t="s">
        <v>81</v>
      </c>
      <c r="I26" s="26" t="s">
        <v>81</v>
      </c>
      <c r="J26" s="26"/>
      <c r="K26" s="67">
        <v>7000</v>
      </c>
      <c r="L26" s="131">
        <f t="shared" si="4"/>
        <v>1820</v>
      </c>
      <c r="M26" s="157">
        <f t="shared" si="0"/>
        <v>8.8571428571428565E-2</v>
      </c>
      <c r="N26" s="131">
        <f t="shared" si="5"/>
        <v>4200</v>
      </c>
      <c r="O26" s="132">
        <f t="shared" si="1"/>
        <v>0.42857142857142855</v>
      </c>
      <c r="P26" s="73">
        <v>1200</v>
      </c>
      <c r="Q26" s="56">
        <f t="shared" si="6"/>
        <v>177</v>
      </c>
      <c r="R26" s="48">
        <f t="shared" si="2"/>
        <v>1023</v>
      </c>
      <c r="S26" s="52">
        <v>460</v>
      </c>
      <c r="T26" s="52">
        <v>110</v>
      </c>
      <c r="U26" s="52">
        <f t="shared" si="3"/>
        <v>220</v>
      </c>
      <c r="V26" s="52">
        <v>440</v>
      </c>
      <c r="W26" s="52">
        <v>0</v>
      </c>
      <c r="X26" s="53">
        <v>13</v>
      </c>
      <c r="Y26" s="43" t="s">
        <v>107</v>
      </c>
      <c r="AC26" s="168">
        <f t="shared" si="7"/>
        <v>1023.2</v>
      </c>
      <c r="AD26" s="168">
        <v>110</v>
      </c>
      <c r="AE26" s="195">
        <f t="shared" si="8"/>
        <v>438</v>
      </c>
      <c r="AF26" s="173">
        <v>462</v>
      </c>
      <c r="AG26" s="168"/>
      <c r="AH26" s="168"/>
      <c r="AI26" s="168"/>
      <c r="AJ26" s="168"/>
      <c r="AK26" s="170"/>
      <c r="AL26" s="170">
        <v>13.2</v>
      </c>
      <c r="AM26" s="168"/>
      <c r="AN26" s="170"/>
      <c r="AO26" s="168"/>
      <c r="AP26" s="168"/>
      <c r="AQ26" s="168">
        <v>0</v>
      </c>
      <c r="AR26" s="171"/>
      <c r="AS26" s="194" t="s">
        <v>525</v>
      </c>
      <c r="AT26" s="194">
        <v>-9</v>
      </c>
    </row>
    <row r="27" spans="1:46" x14ac:dyDescent="0.3">
      <c r="A27" s="304"/>
      <c r="B27" s="304"/>
      <c r="C27" s="296"/>
      <c r="D27" s="18" t="s">
        <v>360</v>
      </c>
      <c r="E27" s="76">
        <v>9810592000074</v>
      </c>
      <c r="F27" s="11">
        <v>0.5</v>
      </c>
      <c r="G27" s="8" t="s">
        <v>8</v>
      </c>
      <c r="H27" s="26" t="s">
        <v>81</v>
      </c>
      <c r="I27" s="26" t="s">
        <v>81</v>
      </c>
      <c r="J27" s="26"/>
      <c r="K27" s="67">
        <v>7000</v>
      </c>
      <c r="L27" s="131">
        <f t="shared" si="4"/>
        <v>1820</v>
      </c>
      <c r="M27" s="157">
        <f t="shared" si="0"/>
        <v>8.8571428571428565E-2</v>
      </c>
      <c r="N27" s="131">
        <f t="shared" si="5"/>
        <v>4200</v>
      </c>
      <c r="O27" s="132">
        <f t="shared" si="1"/>
        <v>0.42857142857142855</v>
      </c>
      <c r="P27" s="73">
        <v>1200</v>
      </c>
      <c r="Q27" s="56">
        <f t="shared" si="6"/>
        <v>177</v>
      </c>
      <c r="R27" s="48">
        <f t="shared" si="2"/>
        <v>1023</v>
      </c>
      <c r="S27" s="52">
        <v>460</v>
      </c>
      <c r="T27" s="52">
        <v>110</v>
      </c>
      <c r="U27" s="52">
        <f t="shared" si="3"/>
        <v>220</v>
      </c>
      <c r="V27" s="52">
        <v>440</v>
      </c>
      <c r="W27" s="52">
        <v>0</v>
      </c>
      <c r="X27" s="53">
        <v>13</v>
      </c>
      <c r="Y27" s="43" t="s">
        <v>107</v>
      </c>
      <c r="AC27" s="168">
        <f t="shared" si="7"/>
        <v>1023.2</v>
      </c>
      <c r="AD27" s="168">
        <v>110</v>
      </c>
      <c r="AE27" s="195">
        <f t="shared" si="8"/>
        <v>438</v>
      </c>
      <c r="AF27" s="173">
        <v>462</v>
      </c>
      <c r="AG27" s="168"/>
      <c r="AH27" s="168"/>
      <c r="AI27" s="168"/>
      <c r="AJ27" s="168"/>
      <c r="AK27" s="170"/>
      <c r="AL27" s="170">
        <v>13.2</v>
      </c>
      <c r="AM27" s="168"/>
      <c r="AN27" s="170"/>
      <c r="AO27" s="168"/>
      <c r="AP27" s="168"/>
      <c r="AQ27" s="168">
        <v>0</v>
      </c>
      <c r="AR27" s="171"/>
      <c r="AS27" s="194" t="s">
        <v>525</v>
      </c>
      <c r="AT27" s="194">
        <v>-9</v>
      </c>
    </row>
    <row r="28" spans="1:46" x14ac:dyDescent="0.3">
      <c r="A28" s="304"/>
      <c r="B28" s="304"/>
      <c r="C28" s="296"/>
      <c r="D28" s="18" t="s">
        <v>361</v>
      </c>
      <c r="E28" s="76">
        <v>9810592000073</v>
      </c>
      <c r="F28" s="11">
        <v>0.5</v>
      </c>
      <c r="G28" s="8" t="s">
        <v>8</v>
      </c>
      <c r="H28" s="26" t="s">
        <v>81</v>
      </c>
      <c r="I28" s="26" t="s">
        <v>81</v>
      </c>
      <c r="J28" s="26"/>
      <c r="K28" s="67">
        <v>7000</v>
      </c>
      <c r="L28" s="131">
        <f t="shared" si="4"/>
        <v>1820</v>
      </c>
      <c r="M28" s="157">
        <f t="shared" si="0"/>
        <v>8.8571428571428565E-2</v>
      </c>
      <c r="N28" s="131">
        <f t="shared" si="5"/>
        <v>4200</v>
      </c>
      <c r="O28" s="132">
        <f t="shared" si="1"/>
        <v>0.42857142857142855</v>
      </c>
      <c r="P28" s="73">
        <v>1200</v>
      </c>
      <c r="Q28" s="56">
        <f t="shared" si="6"/>
        <v>177</v>
      </c>
      <c r="R28" s="48">
        <f t="shared" si="2"/>
        <v>1023</v>
      </c>
      <c r="S28" s="52">
        <v>460</v>
      </c>
      <c r="T28" s="52">
        <v>110</v>
      </c>
      <c r="U28" s="52">
        <f t="shared" si="3"/>
        <v>220</v>
      </c>
      <c r="V28" s="52">
        <v>440</v>
      </c>
      <c r="W28" s="52">
        <v>0</v>
      </c>
      <c r="X28" s="53">
        <v>13</v>
      </c>
      <c r="Y28" s="43" t="s">
        <v>107</v>
      </c>
      <c r="AC28" s="168">
        <f t="shared" si="7"/>
        <v>1023.2</v>
      </c>
      <c r="AD28" s="168">
        <v>110</v>
      </c>
      <c r="AE28" s="195">
        <f t="shared" si="8"/>
        <v>438</v>
      </c>
      <c r="AF28" s="173">
        <v>462</v>
      </c>
      <c r="AG28" s="168"/>
      <c r="AH28" s="168"/>
      <c r="AI28" s="168"/>
      <c r="AJ28" s="168"/>
      <c r="AK28" s="170"/>
      <c r="AL28" s="170">
        <v>13.2</v>
      </c>
      <c r="AM28" s="168"/>
      <c r="AN28" s="170"/>
      <c r="AO28" s="168"/>
      <c r="AP28" s="168"/>
      <c r="AQ28" s="168">
        <v>0</v>
      </c>
      <c r="AR28" s="171"/>
      <c r="AS28" s="194" t="s">
        <v>525</v>
      </c>
      <c r="AT28" s="194">
        <v>-9</v>
      </c>
    </row>
    <row r="29" spans="1:46" x14ac:dyDescent="0.3">
      <c r="A29" s="304"/>
      <c r="B29" s="304"/>
      <c r="C29" s="296"/>
      <c r="D29" s="18" t="s">
        <v>362</v>
      </c>
      <c r="E29" s="76">
        <v>9810592000071</v>
      </c>
      <c r="F29" s="11">
        <v>0.5</v>
      </c>
      <c r="G29" s="8" t="s">
        <v>8</v>
      </c>
      <c r="H29" s="26" t="s">
        <v>81</v>
      </c>
      <c r="I29" s="26" t="s">
        <v>81</v>
      </c>
      <c r="J29" s="26"/>
      <c r="K29" s="67">
        <v>7000</v>
      </c>
      <c r="L29" s="131">
        <f t="shared" si="4"/>
        <v>1820</v>
      </c>
      <c r="M29" s="157">
        <f t="shared" si="0"/>
        <v>8.8571428571428565E-2</v>
      </c>
      <c r="N29" s="131">
        <f t="shared" si="5"/>
        <v>4200</v>
      </c>
      <c r="O29" s="132">
        <f t="shared" si="1"/>
        <v>0.42857142857142855</v>
      </c>
      <c r="P29" s="73">
        <v>1200</v>
      </c>
      <c r="Q29" s="56">
        <f t="shared" si="6"/>
        <v>177</v>
      </c>
      <c r="R29" s="48">
        <f t="shared" si="2"/>
        <v>1023</v>
      </c>
      <c r="S29" s="52">
        <v>460</v>
      </c>
      <c r="T29" s="52">
        <v>110</v>
      </c>
      <c r="U29" s="52">
        <f t="shared" si="3"/>
        <v>220</v>
      </c>
      <c r="V29" s="52">
        <v>440</v>
      </c>
      <c r="W29" s="52">
        <v>0</v>
      </c>
      <c r="X29" s="53">
        <v>13</v>
      </c>
      <c r="Y29" s="43" t="s">
        <v>107</v>
      </c>
      <c r="AC29" s="168">
        <f t="shared" si="7"/>
        <v>1023.2</v>
      </c>
      <c r="AD29" s="168">
        <v>110</v>
      </c>
      <c r="AE29" s="195">
        <f t="shared" si="8"/>
        <v>438</v>
      </c>
      <c r="AF29" s="173">
        <v>462</v>
      </c>
      <c r="AG29" s="168"/>
      <c r="AH29" s="168"/>
      <c r="AI29" s="168"/>
      <c r="AJ29" s="168"/>
      <c r="AK29" s="170"/>
      <c r="AL29" s="170">
        <v>13.2</v>
      </c>
      <c r="AM29" s="168"/>
      <c r="AN29" s="170"/>
      <c r="AO29" s="168"/>
      <c r="AP29" s="168"/>
      <c r="AQ29" s="168">
        <v>0</v>
      </c>
      <c r="AR29" s="171"/>
      <c r="AS29" s="194" t="s">
        <v>525</v>
      </c>
      <c r="AT29" s="194">
        <v>-9</v>
      </c>
    </row>
    <row r="30" spans="1:46" x14ac:dyDescent="0.3">
      <c r="A30" s="304"/>
      <c r="B30" s="304"/>
      <c r="C30" s="295" t="s">
        <v>84</v>
      </c>
      <c r="D30" s="7" t="s">
        <v>363</v>
      </c>
      <c r="E30" s="76">
        <v>9810592000094</v>
      </c>
      <c r="F30" s="16">
        <v>8</v>
      </c>
      <c r="G30" s="8" t="s">
        <v>8</v>
      </c>
      <c r="H30" s="26" t="s">
        <v>96</v>
      </c>
      <c r="I30" s="26" t="s">
        <v>18</v>
      </c>
      <c r="J30" s="26" t="s">
        <v>77</v>
      </c>
      <c r="K30" s="67">
        <v>10000</v>
      </c>
      <c r="L30" s="131">
        <f t="shared" si="4"/>
        <v>2600</v>
      </c>
      <c r="M30" s="157">
        <f t="shared" si="0"/>
        <v>0.1</v>
      </c>
      <c r="N30" s="131">
        <f t="shared" si="5"/>
        <v>6000</v>
      </c>
      <c r="O30" s="132">
        <f t="shared" si="1"/>
        <v>0.44</v>
      </c>
      <c r="P30" s="73">
        <v>1600</v>
      </c>
      <c r="Q30" s="56">
        <f t="shared" si="6"/>
        <v>161</v>
      </c>
      <c r="R30" s="48">
        <f t="shared" si="2"/>
        <v>1439</v>
      </c>
      <c r="S30" s="52">
        <v>560</v>
      </c>
      <c r="T30" s="52">
        <v>276</v>
      </c>
      <c r="U30" s="52">
        <f t="shared" si="3"/>
        <v>34.5</v>
      </c>
      <c r="V30" s="52">
        <v>473</v>
      </c>
      <c r="W30" s="52">
        <v>130</v>
      </c>
      <c r="X30" s="52">
        <v>0</v>
      </c>
      <c r="Y30" s="41" t="s">
        <v>119</v>
      </c>
    </row>
    <row r="31" spans="1:46" x14ac:dyDescent="0.3">
      <c r="A31" s="304"/>
      <c r="B31" s="304"/>
      <c r="C31" s="295"/>
      <c r="D31" s="7" t="s">
        <v>364</v>
      </c>
      <c r="E31" s="76">
        <v>9810592000093</v>
      </c>
      <c r="F31" s="16">
        <v>8</v>
      </c>
      <c r="G31" s="8" t="s">
        <v>8</v>
      </c>
      <c r="H31" s="26" t="s">
        <v>96</v>
      </c>
      <c r="I31" s="26" t="s">
        <v>18</v>
      </c>
      <c r="J31" s="26" t="s">
        <v>77</v>
      </c>
      <c r="K31" s="67">
        <v>10000</v>
      </c>
      <c r="L31" s="131">
        <f t="shared" si="4"/>
        <v>2600</v>
      </c>
      <c r="M31" s="157">
        <f t="shared" si="0"/>
        <v>0.1</v>
      </c>
      <c r="N31" s="131">
        <f t="shared" si="5"/>
        <v>6000</v>
      </c>
      <c r="O31" s="132">
        <f t="shared" si="1"/>
        <v>0.44</v>
      </c>
      <c r="P31" s="73">
        <v>1600</v>
      </c>
      <c r="Q31" s="56">
        <f t="shared" si="6"/>
        <v>161</v>
      </c>
      <c r="R31" s="48">
        <f t="shared" si="2"/>
        <v>1439</v>
      </c>
      <c r="S31" s="52">
        <v>560</v>
      </c>
      <c r="T31" s="52">
        <v>276</v>
      </c>
      <c r="U31" s="52">
        <f t="shared" si="3"/>
        <v>34.5</v>
      </c>
      <c r="V31" s="52">
        <v>473</v>
      </c>
      <c r="W31" s="52">
        <v>130</v>
      </c>
      <c r="X31" s="52">
        <v>0</v>
      </c>
      <c r="Y31" s="41" t="s">
        <v>119</v>
      </c>
    </row>
    <row r="32" spans="1:46" x14ac:dyDescent="0.3">
      <c r="A32" s="304"/>
      <c r="B32" s="304"/>
      <c r="C32" s="295"/>
      <c r="D32" s="7" t="s">
        <v>365</v>
      </c>
      <c r="E32" s="76">
        <v>9810592000092</v>
      </c>
      <c r="F32" s="16">
        <v>8</v>
      </c>
      <c r="G32" s="8" t="s">
        <v>8</v>
      </c>
      <c r="H32" s="26" t="s">
        <v>96</v>
      </c>
      <c r="I32" s="26" t="s">
        <v>18</v>
      </c>
      <c r="J32" s="26" t="s">
        <v>77</v>
      </c>
      <c r="K32" s="67">
        <v>10000</v>
      </c>
      <c r="L32" s="131">
        <f t="shared" si="4"/>
        <v>2600</v>
      </c>
      <c r="M32" s="157">
        <f t="shared" si="0"/>
        <v>0.1</v>
      </c>
      <c r="N32" s="131">
        <f t="shared" si="5"/>
        <v>6000</v>
      </c>
      <c r="O32" s="132">
        <f t="shared" si="1"/>
        <v>0.44</v>
      </c>
      <c r="P32" s="73">
        <v>1600</v>
      </c>
      <c r="Q32" s="56">
        <f t="shared" si="6"/>
        <v>161</v>
      </c>
      <c r="R32" s="48">
        <f t="shared" si="2"/>
        <v>1439</v>
      </c>
      <c r="S32" s="52">
        <v>560</v>
      </c>
      <c r="T32" s="52">
        <v>276</v>
      </c>
      <c r="U32" s="52">
        <f t="shared" si="3"/>
        <v>34.5</v>
      </c>
      <c r="V32" s="52">
        <v>473</v>
      </c>
      <c r="W32" s="52">
        <v>130</v>
      </c>
      <c r="X32" s="52">
        <v>0</v>
      </c>
      <c r="Y32" s="41" t="s">
        <v>119</v>
      </c>
    </row>
    <row r="33" spans="1:46" x14ac:dyDescent="0.3">
      <c r="A33" s="304"/>
      <c r="B33" s="304"/>
      <c r="C33" s="295"/>
      <c r="D33" s="7" t="s">
        <v>366</v>
      </c>
      <c r="E33" s="76">
        <v>9810592000091</v>
      </c>
      <c r="F33" s="16">
        <v>8</v>
      </c>
      <c r="G33" s="8" t="s">
        <v>8</v>
      </c>
      <c r="H33" s="26" t="s">
        <v>96</v>
      </c>
      <c r="I33" s="26" t="s">
        <v>18</v>
      </c>
      <c r="J33" s="26" t="s">
        <v>77</v>
      </c>
      <c r="K33" s="67">
        <v>10000</v>
      </c>
      <c r="L33" s="131">
        <f t="shared" si="4"/>
        <v>2600</v>
      </c>
      <c r="M33" s="157">
        <f t="shared" si="0"/>
        <v>0.1</v>
      </c>
      <c r="N33" s="131">
        <f t="shared" si="5"/>
        <v>6000</v>
      </c>
      <c r="O33" s="132">
        <f t="shared" si="1"/>
        <v>0.44</v>
      </c>
      <c r="P33" s="73">
        <v>1600</v>
      </c>
      <c r="Q33" s="56">
        <f t="shared" si="6"/>
        <v>161</v>
      </c>
      <c r="R33" s="48">
        <f t="shared" si="2"/>
        <v>1439</v>
      </c>
      <c r="S33" s="52">
        <v>560</v>
      </c>
      <c r="T33" s="52">
        <v>276</v>
      </c>
      <c r="U33" s="52">
        <f t="shared" si="3"/>
        <v>34.5</v>
      </c>
      <c r="V33" s="52">
        <v>473</v>
      </c>
      <c r="W33" s="52">
        <v>130</v>
      </c>
      <c r="X33" s="52">
        <v>0</v>
      </c>
      <c r="Y33" s="41" t="s">
        <v>119</v>
      </c>
    </row>
    <row r="34" spans="1:46" ht="10.9" customHeight="1" x14ac:dyDescent="0.3">
      <c r="A34" s="304"/>
      <c r="B34" s="304"/>
      <c r="C34" s="306" t="s">
        <v>200</v>
      </c>
      <c r="D34" s="7" t="s">
        <v>367</v>
      </c>
      <c r="E34" s="76">
        <v>9810592000022</v>
      </c>
      <c r="F34" s="16">
        <v>3</v>
      </c>
      <c r="G34" s="8" t="s">
        <v>8</v>
      </c>
      <c r="H34" s="26" t="s">
        <v>166</v>
      </c>
      <c r="I34" s="26" t="s">
        <v>161</v>
      </c>
      <c r="J34" s="26"/>
      <c r="K34" s="67">
        <v>6000</v>
      </c>
      <c r="L34" s="131">
        <f t="shared" si="4"/>
        <v>1560</v>
      </c>
      <c r="M34" s="157">
        <f t="shared" si="0"/>
        <v>9.3333333333333338E-2</v>
      </c>
      <c r="N34" s="131">
        <f t="shared" si="5"/>
        <v>3600</v>
      </c>
      <c r="O34" s="132">
        <f t="shared" si="1"/>
        <v>0.43333333333333335</v>
      </c>
      <c r="P34" s="73">
        <v>1000</v>
      </c>
      <c r="Q34" s="56">
        <f t="shared" si="6"/>
        <v>43</v>
      </c>
      <c r="R34" s="48">
        <f t="shared" si="2"/>
        <v>957</v>
      </c>
      <c r="S34" s="52">
        <v>310</v>
      </c>
      <c r="T34" s="52">
        <v>207</v>
      </c>
      <c r="U34" s="52">
        <f t="shared" si="3"/>
        <v>69</v>
      </c>
      <c r="V34" s="52">
        <v>440</v>
      </c>
      <c r="W34" s="52">
        <v>0</v>
      </c>
      <c r="X34" s="52">
        <v>0</v>
      </c>
      <c r="Y34" s="42" t="s">
        <v>125</v>
      </c>
    </row>
    <row r="35" spans="1:46" x14ac:dyDescent="0.3">
      <c r="A35" s="304"/>
      <c r="B35" s="304"/>
      <c r="C35" s="307"/>
      <c r="D35" s="7" t="s">
        <v>368</v>
      </c>
      <c r="E35" s="76">
        <v>9810592000019</v>
      </c>
      <c r="F35" s="9">
        <v>2.5</v>
      </c>
      <c r="G35" s="8" t="s">
        <v>8</v>
      </c>
      <c r="H35" s="26" t="s">
        <v>166</v>
      </c>
      <c r="I35" s="26" t="s">
        <v>161</v>
      </c>
      <c r="J35" s="26" t="s">
        <v>79</v>
      </c>
      <c r="K35" s="67">
        <v>6000</v>
      </c>
      <c r="L35" s="131">
        <f t="shared" si="4"/>
        <v>1560</v>
      </c>
      <c r="M35" s="157">
        <f t="shared" si="0"/>
        <v>9.3333333333333338E-2</v>
      </c>
      <c r="N35" s="131">
        <f t="shared" si="5"/>
        <v>3600</v>
      </c>
      <c r="O35" s="132">
        <f t="shared" si="1"/>
        <v>0.43333333333333335</v>
      </c>
      <c r="P35" s="73">
        <v>1000</v>
      </c>
      <c r="Q35" s="56">
        <f t="shared" si="6"/>
        <v>208</v>
      </c>
      <c r="R35" s="48">
        <f t="shared" si="2"/>
        <v>792</v>
      </c>
      <c r="S35" s="118">
        <v>60</v>
      </c>
      <c r="T35" s="118">
        <v>105</v>
      </c>
      <c r="U35" s="52">
        <f t="shared" si="3"/>
        <v>42</v>
      </c>
      <c r="V35" s="118">
        <v>440</v>
      </c>
      <c r="W35" s="52">
        <v>187</v>
      </c>
      <c r="X35" s="52">
        <v>0</v>
      </c>
      <c r="Y35" s="42" t="s">
        <v>125</v>
      </c>
    </row>
    <row r="36" spans="1:46" x14ac:dyDescent="0.3">
      <c r="A36" s="304"/>
      <c r="B36" s="304"/>
      <c r="C36" s="307"/>
      <c r="D36" s="7" t="s">
        <v>369</v>
      </c>
      <c r="E36" s="76">
        <v>9810592000021</v>
      </c>
      <c r="F36" s="9">
        <v>2.5</v>
      </c>
      <c r="G36" s="8" t="s">
        <v>8</v>
      </c>
      <c r="H36" s="26" t="s">
        <v>166</v>
      </c>
      <c r="I36" s="26" t="s">
        <v>161</v>
      </c>
      <c r="J36" s="26" t="s">
        <v>79</v>
      </c>
      <c r="K36" s="67">
        <v>6000</v>
      </c>
      <c r="L36" s="131">
        <f t="shared" si="4"/>
        <v>1560</v>
      </c>
      <c r="M36" s="157">
        <f t="shared" si="0"/>
        <v>9.3333333333333338E-2</v>
      </c>
      <c r="N36" s="131">
        <f t="shared" si="5"/>
        <v>3600</v>
      </c>
      <c r="O36" s="132">
        <f t="shared" si="1"/>
        <v>0.43333333333333335</v>
      </c>
      <c r="P36" s="73">
        <v>1000</v>
      </c>
      <c r="Q36" s="56">
        <f t="shared" si="6"/>
        <v>208</v>
      </c>
      <c r="R36" s="48">
        <f t="shared" si="2"/>
        <v>792</v>
      </c>
      <c r="S36" s="118">
        <v>60</v>
      </c>
      <c r="T36" s="118">
        <v>105</v>
      </c>
      <c r="U36" s="52">
        <f t="shared" si="3"/>
        <v>42</v>
      </c>
      <c r="V36" s="118">
        <v>440</v>
      </c>
      <c r="W36" s="52">
        <v>187</v>
      </c>
      <c r="X36" s="52">
        <v>0</v>
      </c>
      <c r="Y36" s="42" t="s">
        <v>125</v>
      </c>
    </row>
    <row r="37" spans="1:46" x14ac:dyDescent="0.3">
      <c r="A37" s="304"/>
      <c r="B37" s="304"/>
      <c r="C37" s="307"/>
      <c r="D37" s="7" t="s">
        <v>370</v>
      </c>
      <c r="E37" s="76">
        <v>9810592000016</v>
      </c>
      <c r="F37" s="9">
        <v>2.5</v>
      </c>
      <c r="G37" s="8" t="s">
        <v>8</v>
      </c>
      <c r="H37" s="26" t="s">
        <v>167</v>
      </c>
      <c r="I37" s="26" t="s">
        <v>161</v>
      </c>
      <c r="J37" s="26" t="s">
        <v>79</v>
      </c>
      <c r="K37" s="67">
        <v>6000</v>
      </c>
      <c r="L37" s="131">
        <f t="shared" si="4"/>
        <v>1560</v>
      </c>
      <c r="M37" s="157">
        <f t="shared" si="0"/>
        <v>9.3333333333333338E-2</v>
      </c>
      <c r="N37" s="131">
        <f t="shared" si="5"/>
        <v>3600</v>
      </c>
      <c r="O37" s="132">
        <f t="shared" si="1"/>
        <v>0.43333333333333335</v>
      </c>
      <c r="P37" s="73">
        <v>1000</v>
      </c>
      <c r="Q37" s="56">
        <f t="shared" si="6"/>
        <v>208</v>
      </c>
      <c r="R37" s="48">
        <f t="shared" si="2"/>
        <v>792</v>
      </c>
      <c r="S37" s="118">
        <v>60</v>
      </c>
      <c r="T37" s="118">
        <v>105</v>
      </c>
      <c r="U37" s="52">
        <f t="shared" si="3"/>
        <v>42</v>
      </c>
      <c r="V37" s="118">
        <v>440</v>
      </c>
      <c r="W37" s="52">
        <v>187</v>
      </c>
      <c r="X37" s="52">
        <v>0</v>
      </c>
      <c r="Y37" s="42" t="s">
        <v>125</v>
      </c>
    </row>
    <row r="38" spans="1:46" x14ac:dyDescent="0.3">
      <c r="A38" s="304"/>
      <c r="B38" s="304"/>
      <c r="C38" s="308"/>
      <c r="D38" s="7" t="s">
        <v>371</v>
      </c>
      <c r="E38" s="76">
        <v>9810592000020</v>
      </c>
      <c r="F38" s="9">
        <v>2.5</v>
      </c>
      <c r="G38" s="8" t="s">
        <v>8</v>
      </c>
      <c r="H38" s="26" t="s">
        <v>167</v>
      </c>
      <c r="I38" s="26" t="s">
        <v>161</v>
      </c>
      <c r="J38" s="26" t="s">
        <v>79</v>
      </c>
      <c r="K38" s="67">
        <v>6000</v>
      </c>
      <c r="L38" s="131">
        <f t="shared" si="4"/>
        <v>1560</v>
      </c>
      <c r="M38" s="157">
        <f t="shared" si="0"/>
        <v>9.3333333333333338E-2</v>
      </c>
      <c r="N38" s="131">
        <f t="shared" si="5"/>
        <v>3600</v>
      </c>
      <c r="O38" s="132">
        <f t="shared" si="1"/>
        <v>0.43333333333333335</v>
      </c>
      <c r="P38" s="73">
        <v>1000</v>
      </c>
      <c r="Q38" s="56">
        <f t="shared" si="6"/>
        <v>208</v>
      </c>
      <c r="R38" s="48">
        <f t="shared" si="2"/>
        <v>792</v>
      </c>
      <c r="S38" s="118">
        <v>60</v>
      </c>
      <c r="T38" s="118">
        <v>105</v>
      </c>
      <c r="U38" s="52">
        <f t="shared" si="3"/>
        <v>42</v>
      </c>
      <c r="V38" s="118">
        <v>440</v>
      </c>
      <c r="W38" s="52">
        <v>187</v>
      </c>
      <c r="X38" s="52">
        <v>0</v>
      </c>
      <c r="Y38" s="42" t="s">
        <v>125</v>
      </c>
    </row>
    <row r="39" spans="1:46" x14ac:dyDescent="0.3">
      <c r="A39" s="304"/>
      <c r="B39" s="309" t="s">
        <v>19</v>
      </c>
      <c r="C39" s="296" t="s">
        <v>101</v>
      </c>
      <c r="D39" s="20" t="s">
        <v>372</v>
      </c>
      <c r="E39" s="76">
        <v>9810592000041</v>
      </c>
      <c r="F39" s="11">
        <v>3.5</v>
      </c>
      <c r="G39" s="8" t="s">
        <v>8</v>
      </c>
      <c r="H39" s="26" t="s">
        <v>21</v>
      </c>
      <c r="I39" s="26" t="s">
        <v>20</v>
      </c>
      <c r="J39" s="26" t="s">
        <v>77</v>
      </c>
      <c r="K39" s="67">
        <v>10000</v>
      </c>
      <c r="L39" s="131">
        <f t="shared" si="4"/>
        <v>2600</v>
      </c>
      <c r="M39" s="157">
        <f t="shared" si="0"/>
        <v>0.08</v>
      </c>
      <c r="N39" s="131">
        <f t="shared" si="5"/>
        <v>6000</v>
      </c>
      <c r="O39" s="132">
        <f t="shared" si="1"/>
        <v>0.42</v>
      </c>
      <c r="P39" s="73">
        <v>1800</v>
      </c>
      <c r="Q39" s="56">
        <f t="shared" si="6"/>
        <v>133</v>
      </c>
      <c r="R39" s="48">
        <f t="shared" si="2"/>
        <v>1667</v>
      </c>
      <c r="S39" s="52">
        <v>473</v>
      </c>
      <c r="T39" s="52">
        <v>236</v>
      </c>
      <c r="U39" s="52">
        <f t="shared" si="3"/>
        <v>67.428571428571431</v>
      </c>
      <c r="V39" s="53">
        <v>806</v>
      </c>
      <c r="W39" s="52">
        <v>130</v>
      </c>
      <c r="X39" s="68">
        <v>22</v>
      </c>
      <c r="Y39" s="41" t="s">
        <v>120</v>
      </c>
      <c r="AA39" s="40" t="s">
        <v>19</v>
      </c>
      <c r="AB39" s="40">
        <v>32</v>
      </c>
      <c r="AC39" s="168">
        <f t="shared" ref="AC39:AC48" si="9">SUM(AD39:AR39)</f>
        <v>1667</v>
      </c>
      <c r="AD39" s="168">
        <v>236</v>
      </c>
      <c r="AE39" s="195">
        <v>473</v>
      </c>
      <c r="AF39" s="168">
        <v>806</v>
      </c>
      <c r="AG39" s="168">
        <v>0</v>
      </c>
      <c r="AH39" s="168"/>
      <c r="AI39" s="168"/>
      <c r="AJ39" s="168"/>
      <c r="AK39" s="170">
        <v>130</v>
      </c>
      <c r="AL39" s="170"/>
      <c r="AM39" s="195">
        <v>22</v>
      </c>
      <c r="AN39" s="170"/>
      <c r="AO39" s="168"/>
      <c r="AP39" s="168"/>
      <c r="AQ39" s="168">
        <v>0</v>
      </c>
      <c r="AR39" s="171"/>
      <c r="AS39" s="194" t="s">
        <v>526</v>
      </c>
      <c r="AT39" s="194">
        <v>-13</v>
      </c>
    </row>
    <row r="40" spans="1:46" x14ac:dyDescent="0.3">
      <c r="A40" s="304"/>
      <c r="B40" s="310"/>
      <c r="C40" s="296"/>
      <c r="D40" s="20" t="s">
        <v>373</v>
      </c>
      <c r="E40" s="76">
        <v>9810592000039</v>
      </c>
      <c r="F40" s="11">
        <v>3.5</v>
      </c>
      <c r="G40" s="8" t="s">
        <v>8</v>
      </c>
      <c r="H40" s="26" t="s">
        <v>81</v>
      </c>
      <c r="I40" s="26" t="s">
        <v>161</v>
      </c>
      <c r="J40" s="26" t="s">
        <v>77</v>
      </c>
      <c r="K40" s="67">
        <v>10000</v>
      </c>
      <c r="L40" s="131">
        <f t="shared" si="4"/>
        <v>2600</v>
      </c>
      <c r="M40" s="157">
        <f t="shared" si="0"/>
        <v>0.08</v>
      </c>
      <c r="N40" s="131">
        <f t="shared" si="5"/>
        <v>6000</v>
      </c>
      <c r="O40" s="132">
        <f t="shared" si="1"/>
        <v>0.42</v>
      </c>
      <c r="P40" s="73">
        <v>1800</v>
      </c>
      <c r="Q40" s="56">
        <f t="shared" si="6"/>
        <v>-57</v>
      </c>
      <c r="R40" s="48">
        <f t="shared" si="2"/>
        <v>1857</v>
      </c>
      <c r="S40" s="52">
        <v>1445</v>
      </c>
      <c r="T40" s="52">
        <v>260</v>
      </c>
      <c r="U40" s="52">
        <f t="shared" si="3"/>
        <v>74.285714285714292</v>
      </c>
      <c r="V40" s="53"/>
      <c r="W40" s="52">
        <v>130</v>
      </c>
      <c r="X40" s="68">
        <v>22</v>
      </c>
      <c r="Y40" s="41" t="s">
        <v>185</v>
      </c>
      <c r="AC40" s="174">
        <f t="shared" si="9"/>
        <v>152</v>
      </c>
      <c r="AD40" s="174"/>
      <c r="AE40" s="195"/>
      <c r="AF40" s="168"/>
      <c r="AG40" s="168">
        <v>0</v>
      </c>
      <c r="AH40" s="168"/>
      <c r="AI40" s="168"/>
      <c r="AJ40" s="168"/>
      <c r="AK40" s="170">
        <v>130</v>
      </c>
      <c r="AL40" s="170"/>
      <c r="AM40" s="195">
        <v>22</v>
      </c>
      <c r="AN40" s="170"/>
      <c r="AO40" s="168"/>
      <c r="AP40" s="168"/>
      <c r="AQ40" s="168">
        <v>0</v>
      </c>
      <c r="AR40" s="171"/>
      <c r="AS40" s="194" t="s">
        <v>526</v>
      </c>
      <c r="AT40" s="194">
        <v>-13</v>
      </c>
    </row>
    <row r="41" spans="1:46" x14ac:dyDescent="0.3">
      <c r="A41" s="304"/>
      <c r="B41" s="310"/>
      <c r="C41" s="296"/>
      <c r="D41" s="20" t="s">
        <v>374</v>
      </c>
      <c r="E41" s="76">
        <v>9810592000037</v>
      </c>
      <c r="F41" s="11">
        <v>3.5</v>
      </c>
      <c r="G41" s="8" t="s">
        <v>8</v>
      </c>
      <c r="H41" s="26" t="s">
        <v>81</v>
      </c>
      <c r="I41" s="26" t="s">
        <v>161</v>
      </c>
      <c r="J41" s="26" t="s">
        <v>77</v>
      </c>
      <c r="K41" s="67">
        <v>10000</v>
      </c>
      <c r="L41" s="131">
        <f t="shared" si="4"/>
        <v>2600</v>
      </c>
      <c r="M41" s="157">
        <f t="shared" si="0"/>
        <v>0.08</v>
      </c>
      <c r="N41" s="131">
        <f t="shared" si="5"/>
        <v>6000</v>
      </c>
      <c r="O41" s="132">
        <f t="shared" si="1"/>
        <v>0.42</v>
      </c>
      <c r="P41" s="73">
        <v>1800</v>
      </c>
      <c r="Q41" s="56">
        <f t="shared" si="6"/>
        <v>-57</v>
      </c>
      <c r="R41" s="48">
        <f t="shared" si="2"/>
        <v>1857</v>
      </c>
      <c r="S41" s="52">
        <v>1445</v>
      </c>
      <c r="T41" s="52">
        <v>260</v>
      </c>
      <c r="U41" s="52">
        <f t="shared" si="3"/>
        <v>74.285714285714292</v>
      </c>
      <c r="V41" s="53"/>
      <c r="W41" s="52">
        <v>130</v>
      </c>
      <c r="X41" s="68">
        <v>22</v>
      </c>
      <c r="Y41" s="41" t="s">
        <v>185</v>
      </c>
      <c r="AC41" s="174">
        <f t="shared" si="9"/>
        <v>152</v>
      </c>
      <c r="AD41" s="174"/>
      <c r="AE41" s="195"/>
      <c r="AF41" s="168"/>
      <c r="AG41" s="168">
        <v>0</v>
      </c>
      <c r="AH41" s="168"/>
      <c r="AI41" s="168"/>
      <c r="AJ41" s="168"/>
      <c r="AK41" s="170">
        <v>130</v>
      </c>
      <c r="AL41" s="170"/>
      <c r="AM41" s="195">
        <v>22</v>
      </c>
      <c r="AN41" s="170"/>
      <c r="AO41" s="168"/>
      <c r="AP41" s="168"/>
      <c r="AQ41" s="168">
        <v>0</v>
      </c>
      <c r="AR41" s="171"/>
      <c r="AS41" s="194" t="s">
        <v>526</v>
      </c>
      <c r="AT41" s="194">
        <v>-13</v>
      </c>
    </row>
    <row r="42" spans="1:46" x14ac:dyDescent="0.3">
      <c r="A42" s="304"/>
      <c r="B42" s="310"/>
      <c r="C42" s="296"/>
      <c r="D42" s="20" t="s">
        <v>375</v>
      </c>
      <c r="E42" s="76">
        <v>9810592000036</v>
      </c>
      <c r="F42" s="11">
        <v>3.5</v>
      </c>
      <c r="G42" s="8" t="s">
        <v>8</v>
      </c>
      <c r="H42" s="26" t="s">
        <v>81</v>
      </c>
      <c r="I42" s="26" t="s">
        <v>161</v>
      </c>
      <c r="J42" s="26" t="s">
        <v>77</v>
      </c>
      <c r="K42" s="67">
        <v>10000</v>
      </c>
      <c r="L42" s="131">
        <f t="shared" si="4"/>
        <v>2600</v>
      </c>
      <c r="M42" s="157">
        <f t="shared" si="0"/>
        <v>0.08</v>
      </c>
      <c r="N42" s="131">
        <f t="shared" si="5"/>
        <v>6000</v>
      </c>
      <c r="O42" s="132">
        <f t="shared" si="1"/>
        <v>0.42</v>
      </c>
      <c r="P42" s="73">
        <v>1800</v>
      </c>
      <c r="Q42" s="56">
        <f t="shared" si="6"/>
        <v>-57</v>
      </c>
      <c r="R42" s="48">
        <f t="shared" si="2"/>
        <v>1857</v>
      </c>
      <c r="S42" s="52">
        <v>1445</v>
      </c>
      <c r="T42" s="52">
        <v>260</v>
      </c>
      <c r="U42" s="52">
        <f t="shared" si="3"/>
        <v>74.285714285714292</v>
      </c>
      <c r="V42" s="53"/>
      <c r="W42" s="52">
        <v>130</v>
      </c>
      <c r="X42" s="68">
        <v>22</v>
      </c>
      <c r="Y42" s="41" t="s">
        <v>185</v>
      </c>
      <c r="AC42" s="174">
        <f t="shared" si="9"/>
        <v>152</v>
      </c>
      <c r="AD42" s="174"/>
      <c r="AE42" s="195"/>
      <c r="AF42" s="168"/>
      <c r="AG42" s="168">
        <v>0</v>
      </c>
      <c r="AH42" s="168"/>
      <c r="AI42" s="168"/>
      <c r="AJ42" s="168"/>
      <c r="AK42" s="170">
        <v>130</v>
      </c>
      <c r="AL42" s="170"/>
      <c r="AM42" s="195">
        <v>22</v>
      </c>
      <c r="AN42" s="170"/>
      <c r="AO42" s="168"/>
      <c r="AP42" s="168"/>
      <c r="AQ42" s="168">
        <v>0</v>
      </c>
      <c r="AR42" s="171"/>
      <c r="AS42" s="194" t="s">
        <v>526</v>
      </c>
      <c r="AT42" s="194">
        <v>-13</v>
      </c>
    </row>
    <row r="43" spans="1:46" x14ac:dyDescent="0.3">
      <c r="A43" s="304"/>
      <c r="B43" s="310"/>
      <c r="C43" s="296"/>
      <c r="D43" s="81" t="s">
        <v>376</v>
      </c>
      <c r="E43" s="76">
        <v>9810592000410</v>
      </c>
      <c r="F43" s="9">
        <v>3.5</v>
      </c>
      <c r="G43" s="8" t="s">
        <v>8</v>
      </c>
      <c r="H43" s="26" t="s">
        <v>21</v>
      </c>
      <c r="I43" s="26" t="s">
        <v>20</v>
      </c>
      <c r="J43" s="26" t="s">
        <v>80</v>
      </c>
      <c r="K43" s="67">
        <v>10000</v>
      </c>
      <c r="L43" s="131">
        <f t="shared" si="4"/>
        <v>2600</v>
      </c>
      <c r="M43" s="157">
        <f t="shared" si="0"/>
        <v>0.08</v>
      </c>
      <c r="N43" s="131">
        <f t="shared" si="5"/>
        <v>6000</v>
      </c>
      <c r="O43" s="132">
        <f t="shared" si="1"/>
        <v>0.42</v>
      </c>
      <c r="P43" s="73">
        <v>1800</v>
      </c>
      <c r="Q43" s="56">
        <f t="shared" si="6"/>
        <v>133</v>
      </c>
      <c r="R43" s="48">
        <f t="shared" si="2"/>
        <v>1667</v>
      </c>
      <c r="S43" s="52">
        <v>473</v>
      </c>
      <c r="T43" s="52">
        <v>236</v>
      </c>
      <c r="U43" s="52">
        <f t="shared" si="3"/>
        <v>67.428571428571431</v>
      </c>
      <c r="V43" s="53">
        <v>806</v>
      </c>
      <c r="W43" s="52">
        <v>130</v>
      </c>
      <c r="X43" s="68">
        <v>22</v>
      </c>
      <c r="Y43" s="41" t="s">
        <v>121</v>
      </c>
      <c r="AC43" s="168">
        <f t="shared" si="9"/>
        <v>1667</v>
      </c>
      <c r="AD43" s="168">
        <v>236</v>
      </c>
      <c r="AE43" s="195">
        <v>473</v>
      </c>
      <c r="AF43" s="168">
        <v>806</v>
      </c>
      <c r="AG43" s="168">
        <v>0</v>
      </c>
      <c r="AH43" s="168"/>
      <c r="AI43" s="168"/>
      <c r="AJ43" s="168"/>
      <c r="AK43" s="170">
        <v>130</v>
      </c>
      <c r="AL43" s="170"/>
      <c r="AM43" s="195">
        <v>22</v>
      </c>
      <c r="AN43" s="170"/>
      <c r="AO43" s="168"/>
      <c r="AP43" s="168"/>
      <c r="AQ43" s="168">
        <v>0</v>
      </c>
      <c r="AR43" s="171"/>
      <c r="AS43" s="194" t="s">
        <v>526</v>
      </c>
      <c r="AT43" s="194">
        <v>-13</v>
      </c>
    </row>
    <row r="44" spans="1:46" x14ac:dyDescent="0.3">
      <c r="A44" s="304"/>
      <c r="B44" s="310"/>
      <c r="C44" s="296"/>
      <c r="D44" s="81" t="s">
        <v>377</v>
      </c>
      <c r="E44" s="76">
        <v>9810592000411</v>
      </c>
      <c r="F44" s="9">
        <v>3.5</v>
      </c>
      <c r="G44" s="8" t="s">
        <v>8</v>
      </c>
      <c r="H44" s="26" t="s">
        <v>21</v>
      </c>
      <c r="I44" s="26" t="s">
        <v>20</v>
      </c>
      <c r="J44" s="26" t="s">
        <v>80</v>
      </c>
      <c r="K44" s="67">
        <v>10000</v>
      </c>
      <c r="L44" s="131">
        <f t="shared" si="4"/>
        <v>2600</v>
      </c>
      <c r="M44" s="157">
        <f t="shared" si="0"/>
        <v>0.08</v>
      </c>
      <c r="N44" s="131">
        <f t="shared" si="5"/>
        <v>6000</v>
      </c>
      <c r="O44" s="132">
        <f t="shared" si="1"/>
        <v>0.42</v>
      </c>
      <c r="P44" s="73">
        <v>1800</v>
      </c>
      <c r="Q44" s="56">
        <f t="shared" si="6"/>
        <v>133</v>
      </c>
      <c r="R44" s="48">
        <f t="shared" si="2"/>
        <v>1667</v>
      </c>
      <c r="S44" s="52">
        <v>473</v>
      </c>
      <c r="T44" s="52">
        <v>236</v>
      </c>
      <c r="U44" s="52">
        <f t="shared" si="3"/>
        <v>67.428571428571431</v>
      </c>
      <c r="V44" s="53">
        <v>806</v>
      </c>
      <c r="W44" s="52">
        <v>130</v>
      </c>
      <c r="X44" s="68">
        <v>22</v>
      </c>
      <c r="Y44" s="41" t="s">
        <v>121</v>
      </c>
      <c r="AC44" s="168">
        <f t="shared" si="9"/>
        <v>1667</v>
      </c>
      <c r="AD44" s="168">
        <v>236</v>
      </c>
      <c r="AE44" s="195">
        <v>473</v>
      </c>
      <c r="AF44" s="168">
        <v>806</v>
      </c>
      <c r="AG44" s="168">
        <v>0</v>
      </c>
      <c r="AH44" s="168"/>
      <c r="AI44" s="168"/>
      <c r="AJ44" s="168"/>
      <c r="AK44" s="170">
        <v>130</v>
      </c>
      <c r="AL44" s="170"/>
      <c r="AM44" s="195">
        <v>22</v>
      </c>
      <c r="AN44" s="170"/>
      <c r="AO44" s="168"/>
      <c r="AP44" s="168"/>
      <c r="AQ44" s="168">
        <v>0</v>
      </c>
      <c r="AR44" s="171"/>
      <c r="AS44" s="194" t="s">
        <v>526</v>
      </c>
      <c r="AT44" s="194">
        <v>-13</v>
      </c>
    </row>
    <row r="45" spans="1:46" x14ac:dyDescent="0.3">
      <c r="A45" s="304"/>
      <c r="B45" s="310"/>
      <c r="C45" s="296"/>
      <c r="D45" s="81" t="s">
        <v>378</v>
      </c>
      <c r="E45" s="76">
        <v>9810592000412</v>
      </c>
      <c r="F45" s="9">
        <v>3.5</v>
      </c>
      <c r="G45" s="8" t="s">
        <v>8</v>
      </c>
      <c r="H45" s="26" t="s">
        <v>21</v>
      </c>
      <c r="I45" s="26" t="s">
        <v>20</v>
      </c>
      <c r="J45" s="26" t="s">
        <v>80</v>
      </c>
      <c r="K45" s="67">
        <v>10000</v>
      </c>
      <c r="L45" s="131">
        <f t="shared" si="4"/>
        <v>2600</v>
      </c>
      <c r="M45" s="157">
        <f t="shared" si="0"/>
        <v>0.08</v>
      </c>
      <c r="N45" s="131">
        <f t="shared" si="5"/>
        <v>6000</v>
      </c>
      <c r="O45" s="132">
        <f t="shared" si="1"/>
        <v>0.42</v>
      </c>
      <c r="P45" s="73">
        <v>1800</v>
      </c>
      <c r="Q45" s="56">
        <f t="shared" si="6"/>
        <v>133</v>
      </c>
      <c r="R45" s="48">
        <f t="shared" si="2"/>
        <v>1667</v>
      </c>
      <c r="S45" s="52">
        <v>473</v>
      </c>
      <c r="T45" s="52">
        <v>236</v>
      </c>
      <c r="U45" s="52">
        <f t="shared" si="3"/>
        <v>67.428571428571431</v>
      </c>
      <c r="V45" s="53">
        <v>806</v>
      </c>
      <c r="W45" s="52">
        <v>130</v>
      </c>
      <c r="X45" s="68">
        <v>22</v>
      </c>
      <c r="Y45" s="41" t="s">
        <v>121</v>
      </c>
      <c r="AC45" s="168">
        <f t="shared" si="9"/>
        <v>1667</v>
      </c>
      <c r="AD45" s="168">
        <v>236</v>
      </c>
      <c r="AE45" s="195">
        <v>473</v>
      </c>
      <c r="AF45" s="168">
        <v>806</v>
      </c>
      <c r="AG45" s="168">
        <v>0</v>
      </c>
      <c r="AH45" s="168"/>
      <c r="AI45" s="168"/>
      <c r="AJ45" s="168"/>
      <c r="AK45" s="170">
        <v>130</v>
      </c>
      <c r="AL45" s="170"/>
      <c r="AM45" s="195">
        <v>22</v>
      </c>
      <c r="AN45" s="170"/>
      <c r="AO45" s="168"/>
      <c r="AP45" s="168"/>
      <c r="AQ45" s="168">
        <v>0</v>
      </c>
      <c r="AR45" s="171"/>
      <c r="AS45" s="194" t="s">
        <v>526</v>
      </c>
      <c r="AT45" s="194">
        <v>-13</v>
      </c>
    </row>
    <row r="46" spans="1:46" x14ac:dyDescent="0.3">
      <c r="A46" s="304"/>
      <c r="B46" s="310"/>
      <c r="C46" s="296"/>
      <c r="D46" s="81" t="s">
        <v>379</v>
      </c>
      <c r="E46" s="76">
        <v>9810592000413</v>
      </c>
      <c r="F46" s="9">
        <v>3.5</v>
      </c>
      <c r="G46" s="8" t="s">
        <v>8</v>
      </c>
      <c r="H46" s="26" t="s">
        <v>21</v>
      </c>
      <c r="I46" s="26" t="s">
        <v>20</v>
      </c>
      <c r="J46" s="26" t="s">
        <v>80</v>
      </c>
      <c r="K46" s="67">
        <v>10000</v>
      </c>
      <c r="L46" s="131">
        <f t="shared" si="4"/>
        <v>2600</v>
      </c>
      <c r="M46" s="157">
        <f t="shared" si="0"/>
        <v>0.08</v>
      </c>
      <c r="N46" s="131">
        <f t="shared" si="5"/>
        <v>6000</v>
      </c>
      <c r="O46" s="132">
        <f t="shared" si="1"/>
        <v>0.42</v>
      </c>
      <c r="P46" s="73">
        <v>1800</v>
      </c>
      <c r="Q46" s="56">
        <f t="shared" si="6"/>
        <v>133</v>
      </c>
      <c r="R46" s="48">
        <f t="shared" si="2"/>
        <v>1667</v>
      </c>
      <c r="S46" s="52">
        <v>473</v>
      </c>
      <c r="T46" s="52">
        <v>236</v>
      </c>
      <c r="U46" s="52">
        <f t="shared" si="3"/>
        <v>67.428571428571431</v>
      </c>
      <c r="V46" s="53">
        <v>806</v>
      </c>
      <c r="W46" s="52">
        <v>130</v>
      </c>
      <c r="X46" s="68">
        <v>22</v>
      </c>
      <c r="Y46" s="41" t="s">
        <v>121</v>
      </c>
      <c r="AC46" s="168">
        <f t="shared" si="9"/>
        <v>1667</v>
      </c>
      <c r="AD46" s="168">
        <v>236</v>
      </c>
      <c r="AE46" s="195">
        <v>473</v>
      </c>
      <c r="AF46" s="168">
        <v>806</v>
      </c>
      <c r="AG46" s="168">
        <v>0</v>
      </c>
      <c r="AH46" s="168"/>
      <c r="AI46" s="168"/>
      <c r="AJ46" s="168"/>
      <c r="AK46" s="170">
        <v>130</v>
      </c>
      <c r="AL46" s="170"/>
      <c r="AM46" s="195">
        <v>22</v>
      </c>
      <c r="AN46" s="170"/>
      <c r="AO46" s="168"/>
      <c r="AP46" s="168"/>
      <c r="AQ46" s="168">
        <v>0</v>
      </c>
      <c r="AR46" s="171"/>
      <c r="AS46" s="194" t="s">
        <v>526</v>
      </c>
      <c r="AT46" s="194">
        <v>-13</v>
      </c>
    </row>
    <row r="47" spans="1:46" x14ac:dyDescent="0.3">
      <c r="A47" s="304"/>
      <c r="B47" s="310"/>
      <c r="C47" s="296"/>
      <c r="D47" s="81" t="s">
        <v>380</v>
      </c>
      <c r="E47" s="76">
        <v>9810592000414</v>
      </c>
      <c r="F47" s="9">
        <v>3.5</v>
      </c>
      <c r="G47" s="8" t="s">
        <v>8</v>
      </c>
      <c r="H47" s="26" t="s">
        <v>21</v>
      </c>
      <c r="I47" s="26" t="s">
        <v>20</v>
      </c>
      <c r="J47" s="26" t="s">
        <v>80</v>
      </c>
      <c r="K47" s="67">
        <v>10000</v>
      </c>
      <c r="L47" s="131">
        <f t="shared" si="4"/>
        <v>2600</v>
      </c>
      <c r="M47" s="157">
        <f t="shared" si="0"/>
        <v>0.08</v>
      </c>
      <c r="N47" s="131">
        <f t="shared" si="5"/>
        <v>6000</v>
      </c>
      <c r="O47" s="132">
        <f t="shared" si="1"/>
        <v>0.42</v>
      </c>
      <c r="P47" s="73">
        <v>1800</v>
      </c>
      <c r="Q47" s="56">
        <f t="shared" si="6"/>
        <v>133</v>
      </c>
      <c r="R47" s="48">
        <f t="shared" si="2"/>
        <v>1667</v>
      </c>
      <c r="S47" s="52">
        <v>473</v>
      </c>
      <c r="T47" s="52">
        <v>236</v>
      </c>
      <c r="U47" s="52">
        <f t="shared" si="3"/>
        <v>67.428571428571431</v>
      </c>
      <c r="V47" s="53">
        <v>806</v>
      </c>
      <c r="W47" s="52">
        <v>130</v>
      </c>
      <c r="X47" s="68">
        <v>22</v>
      </c>
      <c r="Y47" s="41" t="s">
        <v>121</v>
      </c>
      <c r="AC47" s="168">
        <f t="shared" si="9"/>
        <v>1667</v>
      </c>
      <c r="AD47" s="168">
        <v>236</v>
      </c>
      <c r="AE47" s="195">
        <v>473</v>
      </c>
      <c r="AF47" s="168">
        <v>806</v>
      </c>
      <c r="AG47" s="168">
        <v>0</v>
      </c>
      <c r="AH47" s="168"/>
      <c r="AI47" s="168"/>
      <c r="AJ47" s="168"/>
      <c r="AK47" s="170">
        <v>130</v>
      </c>
      <c r="AL47" s="170"/>
      <c r="AM47" s="195">
        <v>22</v>
      </c>
      <c r="AN47" s="170"/>
      <c r="AO47" s="168"/>
      <c r="AP47" s="168"/>
      <c r="AQ47" s="168">
        <v>0</v>
      </c>
      <c r="AR47" s="171"/>
      <c r="AS47" s="194" t="s">
        <v>526</v>
      </c>
      <c r="AT47" s="194">
        <v>-13</v>
      </c>
    </row>
    <row r="48" spans="1:46" x14ac:dyDescent="0.3">
      <c r="A48" s="304"/>
      <c r="B48" s="310"/>
      <c r="C48" s="296"/>
      <c r="D48" s="81" t="s">
        <v>381</v>
      </c>
      <c r="E48" s="76">
        <v>9810592000415</v>
      </c>
      <c r="F48" s="9">
        <v>3.5</v>
      </c>
      <c r="G48" s="8" t="s">
        <v>8</v>
      </c>
      <c r="H48" s="26" t="s">
        <v>21</v>
      </c>
      <c r="I48" s="26" t="s">
        <v>20</v>
      </c>
      <c r="J48" s="26" t="s">
        <v>80</v>
      </c>
      <c r="K48" s="67">
        <v>10000</v>
      </c>
      <c r="L48" s="131">
        <f t="shared" si="4"/>
        <v>2600</v>
      </c>
      <c r="M48" s="157">
        <f t="shared" si="0"/>
        <v>0.08</v>
      </c>
      <c r="N48" s="131">
        <f t="shared" si="5"/>
        <v>6000</v>
      </c>
      <c r="O48" s="132">
        <f t="shared" si="1"/>
        <v>0.42</v>
      </c>
      <c r="P48" s="73">
        <v>1800</v>
      </c>
      <c r="Q48" s="56">
        <f t="shared" si="6"/>
        <v>133</v>
      </c>
      <c r="R48" s="48">
        <f t="shared" si="2"/>
        <v>1667</v>
      </c>
      <c r="S48" s="52">
        <v>473</v>
      </c>
      <c r="T48" s="52">
        <v>236</v>
      </c>
      <c r="U48" s="52">
        <f t="shared" si="3"/>
        <v>67.428571428571431</v>
      </c>
      <c r="V48" s="53">
        <v>806</v>
      </c>
      <c r="W48" s="52">
        <v>130</v>
      </c>
      <c r="X48" s="68">
        <v>22</v>
      </c>
      <c r="Y48" s="41" t="s">
        <v>121</v>
      </c>
      <c r="AC48" s="168">
        <f t="shared" si="9"/>
        <v>1667</v>
      </c>
      <c r="AD48" s="168">
        <v>236</v>
      </c>
      <c r="AE48" s="195">
        <v>473</v>
      </c>
      <c r="AF48" s="168">
        <v>806</v>
      </c>
      <c r="AG48" s="168">
        <v>0</v>
      </c>
      <c r="AH48" s="168"/>
      <c r="AI48" s="168"/>
      <c r="AJ48" s="168"/>
      <c r="AK48" s="170">
        <v>130</v>
      </c>
      <c r="AL48" s="170"/>
      <c r="AM48" s="195">
        <v>22</v>
      </c>
      <c r="AN48" s="170"/>
      <c r="AO48" s="168"/>
      <c r="AP48" s="168"/>
      <c r="AQ48" s="168">
        <v>0</v>
      </c>
      <c r="AR48" s="171"/>
      <c r="AS48" s="194" t="s">
        <v>526</v>
      </c>
      <c r="AT48" s="194">
        <v>-13</v>
      </c>
    </row>
    <row r="49" spans="1:46" x14ac:dyDescent="0.3">
      <c r="A49" s="304"/>
      <c r="B49" s="310"/>
      <c r="C49" s="296" t="s">
        <v>22</v>
      </c>
      <c r="D49" s="81" t="s">
        <v>382</v>
      </c>
      <c r="E49" s="76">
        <v>9810592000149</v>
      </c>
      <c r="F49" s="11">
        <v>3.5</v>
      </c>
      <c r="G49" s="8" t="s">
        <v>8</v>
      </c>
      <c r="H49" s="26" t="s">
        <v>13</v>
      </c>
      <c r="I49" s="26" t="s">
        <v>23</v>
      </c>
      <c r="J49" s="26" t="s">
        <v>77</v>
      </c>
      <c r="K49" s="67">
        <v>12000</v>
      </c>
      <c r="L49" s="131">
        <f t="shared" si="4"/>
        <v>3120</v>
      </c>
      <c r="M49" s="157">
        <f t="shared" si="0"/>
        <v>9.3333333333333338E-2</v>
      </c>
      <c r="N49" s="131">
        <f t="shared" si="5"/>
        <v>7200</v>
      </c>
      <c r="O49" s="132">
        <f t="shared" si="1"/>
        <v>0.43333333333333335</v>
      </c>
      <c r="P49" s="73">
        <v>2000</v>
      </c>
      <c r="Q49" s="56">
        <f t="shared" si="6"/>
        <v>516.70000000000005</v>
      </c>
      <c r="R49" s="48">
        <f t="shared" si="2"/>
        <v>1483.3</v>
      </c>
      <c r="S49" s="52">
        <v>380</v>
      </c>
      <c r="T49" s="52">
        <v>440</v>
      </c>
      <c r="U49" s="52">
        <f t="shared" si="3"/>
        <v>125.71428571428571</v>
      </c>
      <c r="V49" s="52">
        <v>440</v>
      </c>
      <c r="W49" s="53">
        <f>183*1.1</f>
        <v>201.3</v>
      </c>
      <c r="X49" s="53">
        <v>22</v>
      </c>
      <c r="Y49" s="41" t="s">
        <v>117</v>
      </c>
    </row>
    <row r="50" spans="1:46" x14ac:dyDescent="0.3">
      <c r="A50" s="304"/>
      <c r="B50" s="310"/>
      <c r="C50" s="296"/>
      <c r="D50" s="81" t="s">
        <v>383</v>
      </c>
      <c r="E50" s="76">
        <v>9810592000147</v>
      </c>
      <c r="F50" s="11">
        <v>3.5</v>
      </c>
      <c r="G50" s="8" t="s">
        <v>8</v>
      </c>
      <c r="H50" s="26" t="s">
        <v>13</v>
      </c>
      <c r="I50" s="26" t="s">
        <v>23</v>
      </c>
      <c r="J50" s="26" t="s">
        <v>77</v>
      </c>
      <c r="K50" s="67">
        <v>12000</v>
      </c>
      <c r="L50" s="131">
        <f t="shared" si="4"/>
        <v>3120</v>
      </c>
      <c r="M50" s="157">
        <f t="shared" si="0"/>
        <v>9.3333333333333338E-2</v>
      </c>
      <c r="N50" s="131">
        <f t="shared" si="5"/>
        <v>7200</v>
      </c>
      <c r="O50" s="132">
        <f t="shared" si="1"/>
        <v>0.43333333333333335</v>
      </c>
      <c r="P50" s="73">
        <v>2000</v>
      </c>
      <c r="Q50" s="56">
        <f t="shared" si="6"/>
        <v>516.70000000000005</v>
      </c>
      <c r="R50" s="48">
        <f t="shared" si="2"/>
        <v>1483.3</v>
      </c>
      <c r="S50" s="52">
        <v>380</v>
      </c>
      <c r="T50" s="52">
        <v>440</v>
      </c>
      <c r="U50" s="52">
        <f t="shared" si="3"/>
        <v>125.71428571428571</v>
      </c>
      <c r="V50" s="52">
        <v>440</v>
      </c>
      <c r="W50" s="53">
        <f t="shared" ref="W50:W55" si="10">183*1.1</f>
        <v>201.3</v>
      </c>
      <c r="X50" s="53">
        <v>22</v>
      </c>
      <c r="Y50" s="41" t="s">
        <v>117</v>
      </c>
    </row>
    <row r="51" spans="1:46" x14ac:dyDescent="0.3">
      <c r="A51" s="304"/>
      <c r="B51" s="310"/>
      <c r="C51" s="296"/>
      <c r="D51" s="81" t="s">
        <v>384</v>
      </c>
      <c r="E51" s="76">
        <v>9810592000145</v>
      </c>
      <c r="F51" s="11">
        <v>3.5</v>
      </c>
      <c r="G51" s="8" t="s">
        <v>8</v>
      </c>
      <c r="H51" s="26" t="s">
        <v>13</v>
      </c>
      <c r="I51" s="26" t="s">
        <v>23</v>
      </c>
      <c r="J51" s="26" t="s">
        <v>77</v>
      </c>
      <c r="K51" s="67">
        <v>12000</v>
      </c>
      <c r="L51" s="131">
        <f t="shared" si="4"/>
        <v>3120</v>
      </c>
      <c r="M51" s="157">
        <f t="shared" si="0"/>
        <v>9.3333333333333338E-2</v>
      </c>
      <c r="N51" s="131">
        <f t="shared" si="5"/>
        <v>7200</v>
      </c>
      <c r="O51" s="132">
        <f t="shared" si="1"/>
        <v>0.43333333333333335</v>
      </c>
      <c r="P51" s="73">
        <v>2000</v>
      </c>
      <c r="Q51" s="56">
        <f t="shared" si="6"/>
        <v>516.70000000000005</v>
      </c>
      <c r="R51" s="48">
        <f t="shared" si="2"/>
        <v>1483.3</v>
      </c>
      <c r="S51" s="52">
        <v>380</v>
      </c>
      <c r="T51" s="52">
        <v>440</v>
      </c>
      <c r="U51" s="52">
        <f t="shared" si="3"/>
        <v>125.71428571428571</v>
      </c>
      <c r="V51" s="52">
        <v>440</v>
      </c>
      <c r="W51" s="53">
        <f t="shared" si="10"/>
        <v>201.3</v>
      </c>
      <c r="X51" s="53">
        <v>22</v>
      </c>
      <c r="Y51" s="41" t="s">
        <v>117</v>
      </c>
    </row>
    <row r="52" spans="1:46" x14ac:dyDescent="0.3">
      <c r="A52" s="304"/>
      <c r="B52" s="310"/>
      <c r="C52" s="296"/>
      <c r="D52" s="81" t="s">
        <v>385</v>
      </c>
      <c r="E52" s="76">
        <v>9810592000146</v>
      </c>
      <c r="F52" s="11">
        <v>3.5</v>
      </c>
      <c r="G52" s="8" t="s">
        <v>8</v>
      </c>
      <c r="H52" s="26" t="s">
        <v>13</v>
      </c>
      <c r="I52" s="26" t="s">
        <v>23</v>
      </c>
      <c r="J52" s="26" t="s">
        <v>77</v>
      </c>
      <c r="K52" s="67">
        <v>12000</v>
      </c>
      <c r="L52" s="131">
        <f t="shared" si="4"/>
        <v>3120</v>
      </c>
      <c r="M52" s="157">
        <f t="shared" si="0"/>
        <v>9.3333333333333338E-2</v>
      </c>
      <c r="N52" s="131">
        <f t="shared" si="5"/>
        <v>7200</v>
      </c>
      <c r="O52" s="132">
        <f t="shared" si="1"/>
        <v>0.43333333333333335</v>
      </c>
      <c r="P52" s="73">
        <v>2000</v>
      </c>
      <c r="Q52" s="56">
        <f t="shared" si="6"/>
        <v>516.70000000000005</v>
      </c>
      <c r="R52" s="48">
        <f t="shared" si="2"/>
        <v>1483.3</v>
      </c>
      <c r="S52" s="52">
        <v>380</v>
      </c>
      <c r="T52" s="52">
        <v>440</v>
      </c>
      <c r="U52" s="52">
        <f t="shared" si="3"/>
        <v>125.71428571428571</v>
      </c>
      <c r="V52" s="52">
        <v>440</v>
      </c>
      <c r="W52" s="53">
        <f t="shared" si="10"/>
        <v>201.3</v>
      </c>
      <c r="X52" s="53">
        <v>22</v>
      </c>
      <c r="Y52" s="41" t="s">
        <v>117</v>
      </c>
    </row>
    <row r="53" spans="1:46" x14ac:dyDescent="0.3">
      <c r="A53" s="304"/>
      <c r="B53" s="310"/>
      <c r="C53" s="296"/>
      <c r="D53" s="81" t="s">
        <v>386</v>
      </c>
      <c r="E53" s="76">
        <v>9810592000144</v>
      </c>
      <c r="F53" s="11">
        <v>3.5</v>
      </c>
      <c r="G53" s="8" t="s">
        <v>8</v>
      </c>
      <c r="H53" s="26" t="s">
        <v>13</v>
      </c>
      <c r="I53" s="26" t="s">
        <v>23</v>
      </c>
      <c r="J53" s="26" t="s">
        <v>77</v>
      </c>
      <c r="K53" s="67">
        <v>12000</v>
      </c>
      <c r="L53" s="131">
        <f t="shared" si="4"/>
        <v>3120</v>
      </c>
      <c r="M53" s="157">
        <f t="shared" si="0"/>
        <v>9.3333333333333338E-2</v>
      </c>
      <c r="N53" s="131">
        <f t="shared" si="5"/>
        <v>7200</v>
      </c>
      <c r="O53" s="132">
        <f t="shared" si="1"/>
        <v>0.43333333333333335</v>
      </c>
      <c r="P53" s="73">
        <v>2000</v>
      </c>
      <c r="Q53" s="56">
        <f t="shared" si="6"/>
        <v>516.70000000000005</v>
      </c>
      <c r="R53" s="48">
        <f t="shared" si="2"/>
        <v>1483.3</v>
      </c>
      <c r="S53" s="52">
        <v>380</v>
      </c>
      <c r="T53" s="52">
        <v>440</v>
      </c>
      <c r="U53" s="52">
        <f t="shared" si="3"/>
        <v>125.71428571428571</v>
      </c>
      <c r="V53" s="52">
        <v>440</v>
      </c>
      <c r="W53" s="53">
        <f t="shared" si="10"/>
        <v>201.3</v>
      </c>
      <c r="X53" s="53">
        <v>22</v>
      </c>
      <c r="Y53" s="41" t="s">
        <v>117</v>
      </c>
    </row>
    <row r="54" spans="1:46" x14ac:dyDescent="0.3">
      <c r="A54" s="304"/>
      <c r="B54" s="310"/>
      <c r="C54" s="296"/>
      <c r="D54" s="81" t="s">
        <v>387</v>
      </c>
      <c r="E54" s="76">
        <v>9810592000148</v>
      </c>
      <c r="F54" s="11">
        <v>3.5</v>
      </c>
      <c r="G54" s="8" t="s">
        <v>8</v>
      </c>
      <c r="H54" s="26" t="s">
        <v>13</v>
      </c>
      <c r="I54" s="26" t="s">
        <v>23</v>
      </c>
      <c r="J54" s="26" t="s">
        <v>77</v>
      </c>
      <c r="K54" s="67">
        <v>12000</v>
      </c>
      <c r="L54" s="131">
        <f t="shared" si="4"/>
        <v>3120</v>
      </c>
      <c r="M54" s="157">
        <f t="shared" si="0"/>
        <v>9.3333333333333338E-2</v>
      </c>
      <c r="N54" s="131">
        <f t="shared" si="5"/>
        <v>7200</v>
      </c>
      <c r="O54" s="132">
        <f t="shared" si="1"/>
        <v>0.43333333333333335</v>
      </c>
      <c r="P54" s="73">
        <v>2000</v>
      </c>
      <c r="Q54" s="56">
        <f t="shared" si="6"/>
        <v>516.70000000000005</v>
      </c>
      <c r="R54" s="48">
        <f t="shared" si="2"/>
        <v>1483.3</v>
      </c>
      <c r="S54" s="52">
        <v>380</v>
      </c>
      <c r="T54" s="52">
        <v>440</v>
      </c>
      <c r="U54" s="52">
        <f t="shared" si="3"/>
        <v>125.71428571428571</v>
      </c>
      <c r="V54" s="52">
        <v>440</v>
      </c>
      <c r="W54" s="53">
        <f t="shared" si="10"/>
        <v>201.3</v>
      </c>
      <c r="X54" s="53">
        <v>22</v>
      </c>
      <c r="Y54" s="41" t="s">
        <v>117</v>
      </c>
    </row>
    <row r="55" spans="1:46" x14ac:dyDescent="0.3">
      <c r="A55" s="304"/>
      <c r="B55" s="310"/>
      <c r="C55" s="296"/>
      <c r="D55" s="81" t="s">
        <v>388</v>
      </c>
      <c r="E55" s="76">
        <v>9810592000403</v>
      </c>
      <c r="F55" s="9">
        <v>3.5</v>
      </c>
      <c r="G55" s="8" t="s">
        <v>8</v>
      </c>
      <c r="H55" s="26" t="s">
        <v>9</v>
      </c>
      <c r="I55" s="26" t="s">
        <v>23</v>
      </c>
      <c r="J55" s="26" t="s">
        <v>77</v>
      </c>
      <c r="K55" s="67">
        <v>12000</v>
      </c>
      <c r="L55" s="131">
        <f t="shared" si="4"/>
        <v>3120</v>
      </c>
      <c r="M55" s="157">
        <f t="shared" si="0"/>
        <v>9.3333333333333338E-2</v>
      </c>
      <c r="N55" s="131">
        <f t="shared" si="5"/>
        <v>7200</v>
      </c>
      <c r="O55" s="132">
        <f t="shared" si="1"/>
        <v>0.43333333333333335</v>
      </c>
      <c r="P55" s="73">
        <v>2000</v>
      </c>
      <c r="Q55" s="56">
        <f t="shared" si="6"/>
        <v>516.70000000000005</v>
      </c>
      <c r="R55" s="48">
        <f t="shared" si="2"/>
        <v>1483.3</v>
      </c>
      <c r="S55" s="52">
        <v>380</v>
      </c>
      <c r="T55" s="52">
        <v>440</v>
      </c>
      <c r="U55" s="52">
        <f t="shared" si="3"/>
        <v>125.71428571428571</v>
      </c>
      <c r="V55" s="52">
        <v>440</v>
      </c>
      <c r="W55" s="53">
        <f t="shared" si="10"/>
        <v>201.3</v>
      </c>
      <c r="X55" s="53">
        <v>22</v>
      </c>
      <c r="Y55" s="41" t="s">
        <v>109</v>
      </c>
    </row>
    <row r="56" spans="1:46" x14ac:dyDescent="0.3">
      <c r="A56" s="304"/>
      <c r="B56" s="310"/>
      <c r="C56" s="296"/>
      <c r="D56" s="81" t="s">
        <v>389</v>
      </c>
      <c r="E56" s="76">
        <v>9810592000404</v>
      </c>
      <c r="F56" s="11">
        <v>4.8</v>
      </c>
      <c r="G56" s="8" t="s">
        <v>8</v>
      </c>
      <c r="H56" s="26" t="s">
        <v>96</v>
      </c>
      <c r="I56" s="26" t="s">
        <v>23</v>
      </c>
      <c r="J56" s="26" t="s">
        <v>77</v>
      </c>
      <c r="K56" s="67">
        <v>20000</v>
      </c>
      <c r="L56" s="131">
        <f t="shared" si="4"/>
        <v>5200</v>
      </c>
      <c r="M56" s="157">
        <f t="shared" si="0"/>
        <v>0.08</v>
      </c>
      <c r="N56" s="131">
        <f t="shared" si="5"/>
        <v>12000</v>
      </c>
      <c r="O56" s="132">
        <f t="shared" si="1"/>
        <v>0.42</v>
      </c>
      <c r="P56" s="73">
        <v>3600</v>
      </c>
      <c r="Q56" s="56">
        <f t="shared" si="6"/>
        <v>146</v>
      </c>
      <c r="R56" s="48">
        <f t="shared" si="2"/>
        <v>3454</v>
      </c>
      <c r="S56" s="52">
        <v>900</v>
      </c>
      <c r="T56" s="52">
        <v>1010</v>
      </c>
      <c r="U56" s="52">
        <f t="shared" si="3"/>
        <v>210.41666666666669</v>
      </c>
      <c r="V56" s="52">
        <v>1005</v>
      </c>
      <c r="W56" s="52">
        <v>473</v>
      </c>
      <c r="X56" s="53">
        <v>66</v>
      </c>
      <c r="Y56" s="41" t="s">
        <v>110</v>
      </c>
      <c r="AC56" s="168">
        <f>SUM(AD56:AR56)</f>
        <v>3454</v>
      </c>
      <c r="AD56" s="168">
        <v>990</v>
      </c>
      <c r="AE56" s="168">
        <v>920</v>
      </c>
      <c r="AF56" s="168">
        <v>1005</v>
      </c>
      <c r="AG56" s="168">
        <v>0</v>
      </c>
      <c r="AH56" s="168"/>
      <c r="AI56" s="168"/>
      <c r="AJ56" s="168"/>
      <c r="AK56" s="170">
        <v>473</v>
      </c>
      <c r="AL56" s="170"/>
      <c r="AM56" s="195">
        <f>22*3</f>
        <v>66</v>
      </c>
      <c r="AN56" s="170"/>
      <c r="AO56" s="168"/>
      <c r="AP56" s="168"/>
      <c r="AQ56" s="168">
        <v>0</v>
      </c>
      <c r="AR56" s="171"/>
      <c r="AS56" s="194" t="s">
        <v>527</v>
      </c>
      <c r="AT56" s="194">
        <v>-6</v>
      </c>
    </row>
    <row r="57" spans="1:46" x14ac:dyDescent="0.3">
      <c r="A57" s="304"/>
      <c r="B57" s="310"/>
      <c r="C57" s="296"/>
      <c r="D57" s="81" t="s">
        <v>390</v>
      </c>
      <c r="E57" s="76">
        <v>9810592000154</v>
      </c>
      <c r="F57" s="11">
        <v>3.8</v>
      </c>
      <c r="G57" s="8" t="s">
        <v>8</v>
      </c>
      <c r="H57" s="26" t="s">
        <v>24</v>
      </c>
      <c r="I57" s="26" t="s">
        <v>23</v>
      </c>
      <c r="J57" s="26" t="s">
        <v>77</v>
      </c>
      <c r="K57" s="67">
        <v>14000</v>
      </c>
      <c r="L57" s="131">
        <f t="shared" si="4"/>
        <v>3640</v>
      </c>
      <c r="M57" s="157">
        <f t="shared" si="0"/>
        <v>9.571428571428571E-2</v>
      </c>
      <c r="N57" s="131">
        <f t="shared" si="5"/>
        <v>8400</v>
      </c>
      <c r="O57" s="132">
        <f t="shared" si="1"/>
        <v>0.43571428571428572</v>
      </c>
      <c r="P57" s="73">
        <v>2300</v>
      </c>
      <c r="Q57" s="56">
        <f t="shared" si="6"/>
        <v>397.90000000000009</v>
      </c>
      <c r="R57" s="48">
        <f t="shared" si="2"/>
        <v>1902.1</v>
      </c>
      <c r="S57" s="52">
        <v>955</v>
      </c>
      <c r="T57" s="52">
        <v>275</v>
      </c>
      <c r="U57" s="52">
        <f t="shared" si="3"/>
        <v>72.368421052631589</v>
      </c>
      <c r="V57" s="52">
        <v>440</v>
      </c>
      <c r="W57" s="53">
        <f>191*1.1</f>
        <v>210.10000000000002</v>
      </c>
      <c r="X57" s="53">
        <v>22</v>
      </c>
      <c r="Y57" s="43" t="s">
        <v>112</v>
      </c>
    </row>
    <row r="58" spans="1:46" x14ac:dyDescent="0.3">
      <c r="A58" s="304"/>
      <c r="B58" s="310"/>
      <c r="C58" s="296"/>
      <c r="D58" s="81" t="s">
        <v>391</v>
      </c>
      <c r="E58" s="76">
        <v>9810592000152</v>
      </c>
      <c r="F58" s="11">
        <v>3.8</v>
      </c>
      <c r="G58" s="8" t="s">
        <v>8</v>
      </c>
      <c r="H58" s="26" t="s">
        <v>24</v>
      </c>
      <c r="I58" s="26" t="s">
        <v>23</v>
      </c>
      <c r="J58" s="26" t="s">
        <v>77</v>
      </c>
      <c r="K58" s="67">
        <v>14000</v>
      </c>
      <c r="L58" s="131">
        <f t="shared" si="4"/>
        <v>3640</v>
      </c>
      <c r="M58" s="157">
        <f t="shared" si="0"/>
        <v>9.571428571428571E-2</v>
      </c>
      <c r="N58" s="131">
        <f t="shared" si="5"/>
        <v>8400</v>
      </c>
      <c r="O58" s="132">
        <f t="shared" si="1"/>
        <v>0.43571428571428572</v>
      </c>
      <c r="P58" s="73">
        <v>2300</v>
      </c>
      <c r="Q58" s="56">
        <f t="shared" si="6"/>
        <v>397.90000000000009</v>
      </c>
      <c r="R58" s="48">
        <f t="shared" si="2"/>
        <v>1902.1</v>
      </c>
      <c r="S58" s="52">
        <v>955</v>
      </c>
      <c r="T58" s="52">
        <v>275</v>
      </c>
      <c r="U58" s="52">
        <f t="shared" si="3"/>
        <v>72.368421052631589</v>
      </c>
      <c r="V58" s="52">
        <v>440</v>
      </c>
      <c r="W58" s="53">
        <f t="shared" ref="W58:W61" si="11">191*1.1</f>
        <v>210.10000000000002</v>
      </c>
      <c r="X58" s="53">
        <v>22</v>
      </c>
      <c r="Y58" s="43" t="s">
        <v>111</v>
      </c>
    </row>
    <row r="59" spans="1:46" x14ac:dyDescent="0.3">
      <c r="A59" s="304"/>
      <c r="B59" s="310"/>
      <c r="C59" s="296"/>
      <c r="D59" s="81" t="s">
        <v>392</v>
      </c>
      <c r="E59" s="76">
        <v>9810592000153</v>
      </c>
      <c r="F59" s="11">
        <v>3.8</v>
      </c>
      <c r="G59" s="8" t="s">
        <v>8</v>
      </c>
      <c r="H59" s="26" t="s">
        <v>24</v>
      </c>
      <c r="I59" s="26" t="s">
        <v>23</v>
      </c>
      <c r="J59" s="26" t="s">
        <v>77</v>
      </c>
      <c r="K59" s="67">
        <v>14000</v>
      </c>
      <c r="L59" s="131">
        <f t="shared" si="4"/>
        <v>3640</v>
      </c>
      <c r="M59" s="157">
        <f t="shared" si="0"/>
        <v>9.571428571428571E-2</v>
      </c>
      <c r="N59" s="131">
        <f t="shared" si="5"/>
        <v>8400</v>
      </c>
      <c r="O59" s="132">
        <f t="shared" si="1"/>
        <v>0.43571428571428572</v>
      </c>
      <c r="P59" s="73">
        <v>2300</v>
      </c>
      <c r="Q59" s="56">
        <f t="shared" si="6"/>
        <v>397.90000000000009</v>
      </c>
      <c r="R59" s="48">
        <f t="shared" si="2"/>
        <v>1902.1</v>
      </c>
      <c r="S59" s="52">
        <v>955</v>
      </c>
      <c r="T59" s="52">
        <v>275</v>
      </c>
      <c r="U59" s="52">
        <f t="shared" si="3"/>
        <v>72.368421052631589</v>
      </c>
      <c r="V59" s="52">
        <v>440</v>
      </c>
      <c r="W59" s="53">
        <f t="shared" si="11"/>
        <v>210.10000000000002</v>
      </c>
      <c r="X59" s="53">
        <v>22</v>
      </c>
      <c r="Y59" s="43" t="s">
        <v>111</v>
      </c>
    </row>
    <row r="60" spans="1:46" x14ac:dyDescent="0.3">
      <c r="A60" s="304"/>
      <c r="B60" s="310"/>
      <c r="C60" s="296"/>
      <c r="D60" s="81" t="s">
        <v>393</v>
      </c>
      <c r="E60" s="76">
        <v>9810592000150</v>
      </c>
      <c r="F60" s="11">
        <v>3.8</v>
      </c>
      <c r="G60" s="8" t="s">
        <v>8</v>
      </c>
      <c r="H60" s="26" t="s">
        <v>24</v>
      </c>
      <c r="I60" s="26" t="s">
        <v>23</v>
      </c>
      <c r="J60" s="26" t="s">
        <v>77</v>
      </c>
      <c r="K60" s="67">
        <v>14000</v>
      </c>
      <c r="L60" s="131">
        <f t="shared" si="4"/>
        <v>3640</v>
      </c>
      <c r="M60" s="157">
        <f t="shared" si="0"/>
        <v>9.571428571428571E-2</v>
      </c>
      <c r="N60" s="131">
        <f t="shared" si="5"/>
        <v>8400</v>
      </c>
      <c r="O60" s="132">
        <f t="shared" si="1"/>
        <v>0.43571428571428572</v>
      </c>
      <c r="P60" s="73">
        <v>2300</v>
      </c>
      <c r="Q60" s="56">
        <f t="shared" si="6"/>
        <v>397.90000000000009</v>
      </c>
      <c r="R60" s="48">
        <f t="shared" si="2"/>
        <v>1902.1</v>
      </c>
      <c r="S60" s="52">
        <v>955</v>
      </c>
      <c r="T60" s="52">
        <v>275</v>
      </c>
      <c r="U60" s="52">
        <f t="shared" si="3"/>
        <v>72.368421052631589</v>
      </c>
      <c r="V60" s="52">
        <v>440</v>
      </c>
      <c r="W60" s="53">
        <f t="shared" si="11"/>
        <v>210.10000000000002</v>
      </c>
      <c r="X60" s="53">
        <v>22</v>
      </c>
      <c r="Y60" s="43" t="s">
        <v>111</v>
      </c>
    </row>
    <row r="61" spans="1:46" x14ac:dyDescent="0.3">
      <c r="A61" s="304"/>
      <c r="B61" s="310"/>
      <c r="C61" s="296"/>
      <c r="D61" s="81" t="s">
        <v>394</v>
      </c>
      <c r="E61" s="76">
        <v>9810592000151</v>
      </c>
      <c r="F61" s="11">
        <v>3.8</v>
      </c>
      <c r="G61" s="8" t="s">
        <v>8</v>
      </c>
      <c r="H61" s="26" t="s">
        <v>24</v>
      </c>
      <c r="I61" s="26" t="s">
        <v>23</v>
      </c>
      <c r="J61" s="26" t="s">
        <v>77</v>
      </c>
      <c r="K61" s="67">
        <v>14000</v>
      </c>
      <c r="L61" s="131">
        <f t="shared" si="4"/>
        <v>3640</v>
      </c>
      <c r="M61" s="157">
        <f t="shared" si="0"/>
        <v>9.571428571428571E-2</v>
      </c>
      <c r="N61" s="131">
        <f t="shared" si="5"/>
        <v>8400</v>
      </c>
      <c r="O61" s="132">
        <f t="shared" si="1"/>
        <v>0.43571428571428572</v>
      </c>
      <c r="P61" s="73">
        <v>2300</v>
      </c>
      <c r="Q61" s="56">
        <f t="shared" si="6"/>
        <v>397.90000000000009</v>
      </c>
      <c r="R61" s="48">
        <f t="shared" si="2"/>
        <v>1902.1</v>
      </c>
      <c r="S61" s="52">
        <v>955</v>
      </c>
      <c r="T61" s="52">
        <v>275</v>
      </c>
      <c r="U61" s="52">
        <f t="shared" si="3"/>
        <v>72.368421052631589</v>
      </c>
      <c r="V61" s="52">
        <v>440</v>
      </c>
      <c r="W61" s="53">
        <f t="shared" si="11"/>
        <v>210.10000000000002</v>
      </c>
      <c r="X61" s="53">
        <v>22</v>
      </c>
      <c r="Y61" s="43" t="s">
        <v>111</v>
      </c>
    </row>
    <row r="62" spans="1:46" x14ac:dyDescent="0.3">
      <c r="A62" s="304"/>
      <c r="B62" s="310"/>
      <c r="C62" s="296"/>
      <c r="D62" s="81" t="s">
        <v>395</v>
      </c>
      <c r="E62" s="76">
        <v>9810592000394</v>
      </c>
      <c r="F62" s="12">
        <v>5</v>
      </c>
      <c r="G62" s="8" t="s">
        <v>8</v>
      </c>
      <c r="H62" s="26" t="s">
        <v>81</v>
      </c>
      <c r="I62" s="26" t="s">
        <v>81</v>
      </c>
      <c r="J62" s="26" t="s">
        <v>77</v>
      </c>
      <c r="K62" s="67">
        <v>12000</v>
      </c>
      <c r="L62" s="131">
        <f t="shared" si="4"/>
        <v>3120</v>
      </c>
      <c r="M62" s="157">
        <f t="shared" si="0"/>
        <v>7.6666666666666661E-2</v>
      </c>
      <c r="N62" s="131">
        <f t="shared" si="5"/>
        <v>7200</v>
      </c>
      <c r="O62" s="132">
        <f t="shared" si="1"/>
        <v>0.41666666666666669</v>
      </c>
      <c r="P62" s="73">
        <v>2200</v>
      </c>
      <c r="Q62" s="56">
        <f t="shared" si="6"/>
        <v>270</v>
      </c>
      <c r="R62" s="48">
        <f t="shared" si="2"/>
        <v>1930</v>
      </c>
      <c r="S62" s="52">
        <v>280</v>
      </c>
      <c r="T62" s="52">
        <v>450</v>
      </c>
      <c r="U62" s="52">
        <f t="shared" si="3"/>
        <v>90</v>
      </c>
      <c r="V62" s="52">
        <v>990</v>
      </c>
      <c r="W62" s="53">
        <v>193</v>
      </c>
      <c r="X62" s="53">
        <v>17</v>
      </c>
      <c r="Y62" s="41" t="s">
        <v>114</v>
      </c>
      <c r="AC62" s="168">
        <f t="shared" ref="AC62:AC66" si="12">SUM(AD62:AR62)</f>
        <v>1931</v>
      </c>
      <c r="AD62" s="169">
        <v>385</v>
      </c>
      <c r="AE62" s="196">
        <v>319</v>
      </c>
      <c r="AF62" s="173">
        <v>1012</v>
      </c>
      <c r="AG62" s="168"/>
      <c r="AH62" s="168"/>
      <c r="AI62" s="168"/>
      <c r="AJ62" s="168"/>
      <c r="AK62" s="170">
        <v>193</v>
      </c>
      <c r="AL62" s="170"/>
      <c r="AM62" s="195">
        <v>22</v>
      </c>
      <c r="AN62" s="170"/>
      <c r="AO62" s="168"/>
      <c r="AP62" s="168"/>
      <c r="AQ62" s="168">
        <v>0</v>
      </c>
      <c r="AR62" s="171"/>
      <c r="AS62" s="194" t="s">
        <v>526</v>
      </c>
      <c r="AT62" s="194">
        <v>-13</v>
      </c>
    </row>
    <row r="63" spans="1:46" x14ac:dyDescent="0.3">
      <c r="A63" s="304"/>
      <c r="B63" s="310"/>
      <c r="C63" s="296"/>
      <c r="D63" s="81" t="s">
        <v>396</v>
      </c>
      <c r="E63" s="76">
        <v>9810592000395</v>
      </c>
      <c r="F63" s="12">
        <v>5</v>
      </c>
      <c r="G63" s="8" t="s">
        <v>8</v>
      </c>
      <c r="H63" s="26" t="s">
        <v>81</v>
      </c>
      <c r="I63" s="26" t="s">
        <v>81</v>
      </c>
      <c r="J63" s="26" t="s">
        <v>77</v>
      </c>
      <c r="K63" s="67">
        <v>12000</v>
      </c>
      <c r="L63" s="131">
        <f t="shared" si="4"/>
        <v>3120</v>
      </c>
      <c r="M63" s="157">
        <f t="shared" si="0"/>
        <v>7.6666666666666661E-2</v>
      </c>
      <c r="N63" s="131">
        <f t="shared" si="5"/>
        <v>7200</v>
      </c>
      <c r="O63" s="132">
        <f t="shared" si="1"/>
        <v>0.41666666666666669</v>
      </c>
      <c r="P63" s="73">
        <v>2200</v>
      </c>
      <c r="Q63" s="56">
        <f t="shared" si="6"/>
        <v>270</v>
      </c>
      <c r="R63" s="48">
        <f t="shared" si="2"/>
        <v>1930</v>
      </c>
      <c r="S63" s="52">
        <v>280</v>
      </c>
      <c r="T63" s="52">
        <v>450</v>
      </c>
      <c r="U63" s="52">
        <f t="shared" si="3"/>
        <v>90</v>
      </c>
      <c r="V63" s="52">
        <v>990</v>
      </c>
      <c r="W63" s="53">
        <v>193</v>
      </c>
      <c r="X63" s="53">
        <v>17</v>
      </c>
      <c r="Y63" s="41" t="s">
        <v>113</v>
      </c>
      <c r="AC63" s="168">
        <f t="shared" si="12"/>
        <v>1931</v>
      </c>
      <c r="AD63" s="169">
        <v>385</v>
      </c>
      <c r="AE63" s="196">
        <v>319</v>
      </c>
      <c r="AF63" s="173">
        <v>1012</v>
      </c>
      <c r="AG63" s="168"/>
      <c r="AH63" s="168"/>
      <c r="AI63" s="168"/>
      <c r="AJ63" s="168"/>
      <c r="AK63" s="170">
        <v>193</v>
      </c>
      <c r="AL63" s="170"/>
      <c r="AM63" s="195">
        <v>22</v>
      </c>
      <c r="AN63" s="170"/>
      <c r="AO63" s="168"/>
      <c r="AP63" s="168"/>
      <c r="AQ63" s="168">
        <v>0</v>
      </c>
      <c r="AR63" s="171"/>
      <c r="AS63" s="194" t="s">
        <v>526</v>
      </c>
      <c r="AT63" s="194">
        <v>-13</v>
      </c>
    </row>
    <row r="64" spans="1:46" x14ac:dyDescent="0.3">
      <c r="A64" s="304"/>
      <c r="B64" s="310"/>
      <c r="C64" s="296"/>
      <c r="D64" s="81" t="s">
        <v>397</v>
      </c>
      <c r="E64" s="76">
        <v>9810592000396</v>
      </c>
      <c r="F64" s="12">
        <v>5</v>
      </c>
      <c r="G64" s="8" t="s">
        <v>8</v>
      </c>
      <c r="H64" s="26" t="s">
        <v>81</v>
      </c>
      <c r="I64" s="26" t="s">
        <v>81</v>
      </c>
      <c r="J64" s="26" t="s">
        <v>77</v>
      </c>
      <c r="K64" s="67">
        <v>12000</v>
      </c>
      <c r="L64" s="131">
        <f t="shared" si="4"/>
        <v>3120</v>
      </c>
      <c r="M64" s="157">
        <f t="shared" si="0"/>
        <v>7.6666666666666661E-2</v>
      </c>
      <c r="N64" s="131">
        <f t="shared" si="5"/>
        <v>7200</v>
      </c>
      <c r="O64" s="132">
        <f t="shared" si="1"/>
        <v>0.41666666666666669</v>
      </c>
      <c r="P64" s="73">
        <v>2200</v>
      </c>
      <c r="Q64" s="56">
        <f t="shared" si="6"/>
        <v>270</v>
      </c>
      <c r="R64" s="48">
        <f t="shared" si="2"/>
        <v>1930</v>
      </c>
      <c r="S64" s="52">
        <v>280</v>
      </c>
      <c r="T64" s="52">
        <v>450</v>
      </c>
      <c r="U64" s="52">
        <f t="shared" si="3"/>
        <v>90</v>
      </c>
      <c r="V64" s="52">
        <v>990</v>
      </c>
      <c r="W64" s="53">
        <v>193</v>
      </c>
      <c r="X64" s="53">
        <v>17</v>
      </c>
      <c r="Y64" s="41" t="s">
        <v>113</v>
      </c>
      <c r="AC64" s="168">
        <f t="shared" si="12"/>
        <v>1931</v>
      </c>
      <c r="AD64" s="169">
        <v>385</v>
      </c>
      <c r="AE64" s="196">
        <v>319</v>
      </c>
      <c r="AF64" s="173">
        <v>1012</v>
      </c>
      <c r="AG64" s="168"/>
      <c r="AH64" s="168"/>
      <c r="AI64" s="168"/>
      <c r="AJ64" s="168"/>
      <c r="AK64" s="170">
        <v>193</v>
      </c>
      <c r="AL64" s="170"/>
      <c r="AM64" s="195">
        <v>22</v>
      </c>
      <c r="AN64" s="170"/>
      <c r="AO64" s="168"/>
      <c r="AP64" s="168"/>
      <c r="AQ64" s="168">
        <v>0</v>
      </c>
      <c r="AR64" s="171"/>
      <c r="AS64" s="194" t="s">
        <v>526</v>
      </c>
      <c r="AT64" s="194">
        <v>-13</v>
      </c>
    </row>
    <row r="65" spans="1:46" x14ac:dyDescent="0.3">
      <c r="A65" s="304"/>
      <c r="B65" s="310"/>
      <c r="C65" s="296"/>
      <c r="D65" s="81" t="s">
        <v>398</v>
      </c>
      <c r="E65" s="76">
        <v>9810592000397</v>
      </c>
      <c r="F65" s="12">
        <v>5</v>
      </c>
      <c r="G65" s="8" t="s">
        <v>8</v>
      </c>
      <c r="H65" s="26" t="s">
        <v>81</v>
      </c>
      <c r="I65" s="26" t="s">
        <v>81</v>
      </c>
      <c r="J65" s="26" t="s">
        <v>77</v>
      </c>
      <c r="K65" s="67">
        <v>12000</v>
      </c>
      <c r="L65" s="131">
        <f t="shared" si="4"/>
        <v>3120</v>
      </c>
      <c r="M65" s="157">
        <f t="shared" si="0"/>
        <v>7.6666666666666661E-2</v>
      </c>
      <c r="N65" s="131">
        <f t="shared" si="5"/>
        <v>7200</v>
      </c>
      <c r="O65" s="132">
        <f t="shared" si="1"/>
        <v>0.41666666666666669</v>
      </c>
      <c r="P65" s="73">
        <v>2200</v>
      </c>
      <c r="Q65" s="56">
        <f t="shared" si="6"/>
        <v>270</v>
      </c>
      <c r="R65" s="48">
        <f t="shared" si="2"/>
        <v>1930</v>
      </c>
      <c r="S65" s="52">
        <v>280</v>
      </c>
      <c r="T65" s="52">
        <v>450</v>
      </c>
      <c r="U65" s="52">
        <f t="shared" si="3"/>
        <v>90</v>
      </c>
      <c r="V65" s="52">
        <v>990</v>
      </c>
      <c r="W65" s="53">
        <v>193</v>
      </c>
      <c r="X65" s="53">
        <v>17</v>
      </c>
      <c r="Y65" s="41" t="s">
        <v>113</v>
      </c>
      <c r="AC65" s="168">
        <f t="shared" si="12"/>
        <v>1931</v>
      </c>
      <c r="AD65" s="169">
        <v>385</v>
      </c>
      <c r="AE65" s="196">
        <v>319</v>
      </c>
      <c r="AF65" s="173">
        <v>1012</v>
      </c>
      <c r="AG65" s="168"/>
      <c r="AH65" s="168"/>
      <c r="AI65" s="168"/>
      <c r="AJ65" s="168"/>
      <c r="AK65" s="170">
        <v>193</v>
      </c>
      <c r="AL65" s="170"/>
      <c r="AM65" s="195">
        <v>22</v>
      </c>
      <c r="AN65" s="170"/>
      <c r="AO65" s="168"/>
      <c r="AP65" s="168"/>
      <c r="AQ65" s="168">
        <v>0</v>
      </c>
      <c r="AR65" s="171"/>
      <c r="AS65" s="194" t="s">
        <v>526</v>
      </c>
      <c r="AT65" s="194">
        <v>-13</v>
      </c>
    </row>
    <row r="66" spans="1:46" x14ac:dyDescent="0.3">
      <c r="A66" s="304"/>
      <c r="B66" s="310"/>
      <c r="C66" s="296"/>
      <c r="D66" s="81" t="s">
        <v>399</v>
      </c>
      <c r="E66" s="76">
        <v>9810592000398</v>
      </c>
      <c r="F66" s="12">
        <v>5</v>
      </c>
      <c r="G66" s="8" t="s">
        <v>8</v>
      </c>
      <c r="H66" s="26" t="s">
        <v>81</v>
      </c>
      <c r="I66" s="26" t="s">
        <v>81</v>
      </c>
      <c r="J66" s="26" t="s">
        <v>77</v>
      </c>
      <c r="K66" s="67">
        <v>12000</v>
      </c>
      <c r="L66" s="131">
        <f t="shared" si="4"/>
        <v>3120</v>
      </c>
      <c r="M66" s="157">
        <f t="shared" si="0"/>
        <v>7.6666666666666661E-2</v>
      </c>
      <c r="N66" s="131">
        <f t="shared" si="5"/>
        <v>7200</v>
      </c>
      <c r="O66" s="132">
        <f t="shared" si="1"/>
        <v>0.41666666666666669</v>
      </c>
      <c r="P66" s="73">
        <v>2200</v>
      </c>
      <c r="Q66" s="56">
        <f t="shared" si="6"/>
        <v>270</v>
      </c>
      <c r="R66" s="48">
        <f t="shared" si="2"/>
        <v>1930</v>
      </c>
      <c r="S66" s="52">
        <v>280</v>
      </c>
      <c r="T66" s="52">
        <v>450</v>
      </c>
      <c r="U66" s="52">
        <f t="shared" si="3"/>
        <v>90</v>
      </c>
      <c r="V66" s="52">
        <v>990</v>
      </c>
      <c r="W66" s="53">
        <v>193</v>
      </c>
      <c r="X66" s="53">
        <v>17</v>
      </c>
      <c r="Y66" s="41" t="s">
        <v>113</v>
      </c>
      <c r="AC66" s="168">
        <f t="shared" si="12"/>
        <v>1931</v>
      </c>
      <c r="AD66" s="169">
        <v>385</v>
      </c>
      <c r="AE66" s="196">
        <v>319</v>
      </c>
      <c r="AF66" s="173">
        <v>1012</v>
      </c>
      <c r="AG66" s="168"/>
      <c r="AH66" s="168"/>
      <c r="AI66" s="168"/>
      <c r="AJ66" s="168"/>
      <c r="AK66" s="170">
        <v>193</v>
      </c>
      <c r="AL66" s="170"/>
      <c r="AM66" s="195">
        <v>22</v>
      </c>
      <c r="AN66" s="170"/>
      <c r="AO66" s="168"/>
      <c r="AP66" s="168"/>
      <c r="AQ66" s="168">
        <v>0</v>
      </c>
      <c r="AR66" s="171"/>
      <c r="AS66" s="194" t="s">
        <v>526</v>
      </c>
      <c r="AT66" s="194">
        <v>-13</v>
      </c>
    </row>
    <row r="67" spans="1:46" x14ac:dyDescent="0.3">
      <c r="A67" s="304"/>
      <c r="B67" s="310"/>
      <c r="C67" s="295" t="s">
        <v>100</v>
      </c>
      <c r="D67" s="7" t="s">
        <v>400</v>
      </c>
      <c r="E67" s="76">
        <v>9810592000099</v>
      </c>
      <c r="F67" s="16">
        <v>10</v>
      </c>
      <c r="G67" s="8" t="s">
        <v>8</v>
      </c>
      <c r="H67" s="26" t="s">
        <v>91</v>
      </c>
      <c r="I67" s="26" t="s">
        <v>25</v>
      </c>
      <c r="J67" s="26" t="s">
        <v>78</v>
      </c>
      <c r="K67" s="67">
        <v>10000</v>
      </c>
      <c r="L67" s="131">
        <f t="shared" si="4"/>
        <v>2600</v>
      </c>
      <c r="M67" s="157">
        <f t="shared" si="0"/>
        <v>0.14000000000000001</v>
      </c>
      <c r="N67" s="131">
        <f t="shared" si="5"/>
        <v>6000</v>
      </c>
      <c r="O67" s="132">
        <f t="shared" si="1"/>
        <v>0.48</v>
      </c>
      <c r="P67" s="73">
        <v>1200</v>
      </c>
      <c r="Q67" s="56">
        <f t="shared" si="6"/>
        <v>1.2000000000000455</v>
      </c>
      <c r="R67" s="112">
        <f t="shared" si="2"/>
        <v>1198.8</v>
      </c>
      <c r="S67" s="52">
        <v>488</v>
      </c>
      <c r="T67" s="52">
        <v>130</v>
      </c>
      <c r="U67" s="52">
        <f t="shared" si="3"/>
        <v>13</v>
      </c>
      <c r="V67" s="52">
        <v>451</v>
      </c>
      <c r="W67" s="54">
        <f>118*1.1</f>
        <v>129.80000000000001</v>
      </c>
      <c r="X67" s="52">
        <v>0</v>
      </c>
      <c r="Y67" s="42" t="s">
        <v>126</v>
      </c>
    </row>
    <row r="68" spans="1:46" x14ac:dyDescent="0.3">
      <c r="A68" s="304"/>
      <c r="B68" s="310"/>
      <c r="C68" s="295"/>
      <c r="D68" s="7" t="s">
        <v>401</v>
      </c>
      <c r="E68" s="76">
        <v>9810592000098</v>
      </c>
      <c r="F68" s="16">
        <v>10</v>
      </c>
      <c r="G68" s="8" t="s">
        <v>8</v>
      </c>
      <c r="H68" s="26" t="s">
        <v>91</v>
      </c>
      <c r="I68" s="26" t="s">
        <v>25</v>
      </c>
      <c r="J68" s="26" t="s">
        <v>78</v>
      </c>
      <c r="K68" s="67">
        <v>10000</v>
      </c>
      <c r="L68" s="131">
        <f t="shared" si="4"/>
        <v>2600</v>
      </c>
      <c r="M68" s="157">
        <f t="shared" si="0"/>
        <v>0.14000000000000001</v>
      </c>
      <c r="N68" s="131">
        <f t="shared" si="5"/>
        <v>6000</v>
      </c>
      <c r="O68" s="132">
        <f t="shared" si="1"/>
        <v>0.48</v>
      </c>
      <c r="P68" s="73">
        <v>1200</v>
      </c>
      <c r="Q68" s="56">
        <f t="shared" si="6"/>
        <v>1.2000000000000455</v>
      </c>
      <c r="R68" s="112">
        <f t="shared" si="2"/>
        <v>1198.8</v>
      </c>
      <c r="S68" s="52">
        <v>488</v>
      </c>
      <c r="T68" s="52">
        <v>130</v>
      </c>
      <c r="U68" s="52">
        <f t="shared" si="3"/>
        <v>13</v>
      </c>
      <c r="V68" s="52">
        <v>451</v>
      </c>
      <c r="W68" s="54">
        <f t="shared" ref="W68:W69" si="13">118*1.1</f>
        <v>129.80000000000001</v>
      </c>
      <c r="X68" s="52">
        <v>0</v>
      </c>
      <c r="Y68" s="42" t="s">
        <v>126</v>
      </c>
    </row>
    <row r="69" spans="1:46" x14ac:dyDescent="0.3">
      <c r="A69" s="304"/>
      <c r="B69" s="310"/>
      <c r="C69" s="295"/>
      <c r="D69" s="7" t="s">
        <v>402</v>
      </c>
      <c r="E69" s="76">
        <v>9810592000096</v>
      </c>
      <c r="F69" s="16">
        <v>10</v>
      </c>
      <c r="G69" s="8" t="s">
        <v>8</v>
      </c>
      <c r="H69" s="26" t="s">
        <v>91</v>
      </c>
      <c r="I69" s="26" t="s">
        <v>25</v>
      </c>
      <c r="J69" s="26" t="s">
        <v>78</v>
      </c>
      <c r="K69" s="67">
        <v>10000</v>
      </c>
      <c r="L69" s="131">
        <f t="shared" si="4"/>
        <v>2600</v>
      </c>
      <c r="M69" s="157">
        <f t="shared" ref="M69:M133" si="14">(L69-P69)/K69</f>
        <v>0.14000000000000001</v>
      </c>
      <c r="N69" s="131">
        <f t="shared" si="5"/>
        <v>6000</v>
      </c>
      <c r="O69" s="132">
        <f t="shared" ref="O69:O133" si="15">(N69-P69)/K69</f>
        <v>0.48</v>
      </c>
      <c r="P69" s="73">
        <v>1200</v>
      </c>
      <c r="Q69" s="56">
        <f t="shared" si="6"/>
        <v>1.2000000000000455</v>
      </c>
      <c r="R69" s="112">
        <f t="shared" ref="R69:R132" si="16">S69+T69+V69+W69+X69</f>
        <v>1198.8</v>
      </c>
      <c r="S69" s="52">
        <v>488</v>
      </c>
      <c r="T69" s="52">
        <v>130</v>
      </c>
      <c r="U69" s="52">
        <f t="shared" ref="U69:U112" si="17">T69/F69</f>
        <v>13</v>
      </c>
      <c r="V69" s="52">
        <v>451</v>
      </c>
      <c r="W69" s="54">
        <f t="shared" si="13"/>
        <v>129.80000000000001</v>
      </c>
      <c r="X69" s="52">
        <v>0</v>
      </c>
      <c r="Y69" s="42" t="s">
        <v>126</v>
      </c>
    </row>
    <row r="70" spans="1:46" x14ac:dyDescent="0.3">
      <c r="A70" s="304"/>
      <c r="B70" s="311"/>
      <c r="C70" s="166" t="s">
        <v>26</v>
      </c>
      <c r="D70" s="7" t="s">
        <v>403</v>
      </c>
      <c r="E70" s="76">
        <v>9810592000108</v>
      </c>
      <c r="F70" s="12">
        <v>100</v>
      </c>
      <c r="G70" s="8" t="s">
        <v>16</v>
      </c>
      <c r="H70" s="26" t="s">
        <v>27</v>
      </c>
      <c r="I70" s="26" t="s">
        <v>28</v>
      </c>
      <c r="J70" s="26"/>
      <c r="K70" s="67">
        <v>7000</v>
      </c>
      <c r="L70" s="131">
        <f t="shared" ref="L70:L133" si="18">K70*26%</f>
        <v>1820</v>
      </c>
      <c r="M70" s="157">
        <f t="shared" si="14"/>
        <v>8.8571428571428565E-2</v>
      </c>
      <c r="N70" s="131">
        <f t="shared" ref="N70:N133" si="19">K70*60%</f>
        <v>4200</v>
      </c>
      <c r="O70" s="132">
        <f t="shared" si="15"/>
        <v>0.42857142857142855</v>
      </c>
      <c r="P70" s="73">
        <v>1200</v>
      </c>
      <c r="Q70" s="56">
        <f t="shared" ref="Q70:Q133" si="20">P70-R70</f>
        <v>114</v>
      </c>
      <c r="R70" s="48">
        <f t="shared" si="16"/>
        <v>1086</v>
      </c>
      <c r="S70" s="52">
        <v>395</v>
      </c>
      <c r="T70" s="52">
        <v>320</v>
      </c>
      <c r="U70" s="52">
        <f t="shared" si="17"/>
        <v>3.2</v>
      </c>
      <c r="V70" s="52">
        <v>358</v>
      </c>
      <c r="W70" s="52">
        <v>0</v>
      </c>
      <c r="X70" s="53">
        <v>13</v>
      </c>
      <c r="Y70" s="43" t="s">
        <v>133</v>
      </c>
      <c r="AC70" s="168">
        <f t="shared" ref="AC70" si="21">SUM(AD70:AR70)</f>
        <v>1086</v>
      </c>
      <c r="AD70" s="195">
        <v>395</v>
      </c>
      <c r="AE70" s="169">
        <v>320</v>
      </c>
      <c r="AF70" s="195">
        <v>358</v>
      </c>
      <c r="AG70" s="168"/>
      <c r="AH70" s="168"/>
      <c r="AI70" s="168"/>
      <c r="AJ70" s="168"/>
      <c r="AK70" s="170"/>
      <c r="AL70" s="170"/>
      <c r="AM70" s="168"/>
      <c r="AN70" s="170"/>
      <c r="AO70" s="168"/>
      <c r="AP70" s="168"/>
      <c r="AQ70" s="168">
        <v>13</v>
      </c>
      <c r="AR70" s="171"/>
      <c r="AS70" s="194" t="s">
        <v>528</v>
      </c>
      <c r="AT70" s="194">
        <v>-15</v>
      </c>
    </row>
    <row r="71" spans="1:46" x14ac:dyDescent="0.3">
      <c r="A71" s="299" t="s">
        <v>190</v>
      </c>
      <c r="B71" s="291" t="s">
        <v>201</v>
      </c>
      <c r="C71" s="296" t="s">
        <v>29</v>
      </c>
      <c r="D71" s="18" t="s">
        <v>404</v>
      </c>
      <c r="E71" s="76">
        <v>9810592000162</v>
      </c>
      <c r="F71" s="16">
        <v>200</v>
      </c>
      <c r="G71" s="8" t="s">
        <v>8</v>
      </c>
      <c r="H71" s="26" t="s">
        <v>12</v>
      </c>
      <c r="I71" s="26" t="s">
        <v>30</v>
      </c>
      <c r="J71" s="26" t="s">
        <v>77</v>
      </c>
      <c r="K71" s="67">
        <v>17000</v>
      </c>
      <c r="L71" s="131">
        <f t="shared" si="18"/>
        <v>4420</v>
      </c>
      <c r="M71" s="157">
        <f t="shared" si="14"/>
        <v>0.10705882352941176</v>
      </c>
      <c r="N71" s="131">
        <f t="shared" si="19"/>
        <v>10200</v>
      </c>
      <c r="O71" s="132">
        <f t="shared" si="15"/>
        <v>0.44705882352941179</v>
      </c>
      <c r="P71" s="73">
        <v>2600</v>
      </c>
      <c r="Q71" s="56">
        <f t="shared" si="20"/>
        <v>195.19999999999982</v>
      </c>
      <c r="R71" s="48">
        <f t="shared" si="16"/>
        <v>2404.8000000000002</v>
      </c>
      <c r="S71" s="52">
        <v>229</v>
      </c>
      <c r="T71" s="52">
        <v>1551</v>
      </c>
      <c r="U71" s="52">
        <f t="shared" si="17"/>
        <v>7.7549999999999999</v>
      </c>
      <c r="V71" s="52">
        <f>330+110</f>
        <v>440</v>
      </c>
      <c r="W71" s="53">
        <f>168*1.1</f>
        <v>184.8</v>
      </c>
      <c r="X71" s="52">
        <v>0</v>
      </c>
      <c r="Y71" s="43" t="s">
        <v>127</v>
      </c>
      <c r="AA71" s="40" t="s">
        <v>201</v>
      </c>
      <c r="AB71" s="40">
        <v>10</v>
      </c>
    </row>
    <row r="72" spans="1:46" x14ac:dyDescent="0.3">
      <c r="A72" s="300"/>
      <c r="B72" s="291"/>
      <c r="C72" s="296"/>
      <c r="D72" s="18" t="s">
        <v>405</v>
      </c>
      <c r="E72" s="76">
        <v>9810592000158</v>
      </c>
      <c r="F72" s="16">
        <v>50</v>
      </c>
      <c r="G72" s="8" t="s">
        <v>8</v>
      </c>
      <c r="H72" s="26" t="s">
        <v>12</v>
      </c>
      <c r="I72" s="26" t="s">
        <v>30</v>
      </c>
      <c r="J72" s="26" t="s">
        <v>77</v>
      </c>
      <c r="K72" s="67">
        <v>13000</v>
      </c>
      <c r="L72" s="131">
        <f t="shared" si="18"/>
        <v>3380</v>
      </c>
      <c r="M72" s="157">
        <f t="shared" si="14"/>
        <v>0.12923076923076923</v>
      </c>
      <c r="N72" s="131">
        <f t="shared" si="19"/>
        <v>7800</v>
      </c>
      <c r="O72" s="132">
        <f t="shared" si="15"/>
        <v>0.46923076923076923</v>
      </c>
      <c r="P72" s="73">
        <v>1700</v>
      </c>
      <c r="Q72" s="56">
        <f t="shared" si="20"/>
        <v>131</v>
      </c>
      <c r="R72" s="48">
        <f t="shared" si="16"/>
        <v>1569</v>
      </c>
      <c r="S72" s="52">
        <v>222</v>
      </c>
      <c r="T72" s="52">
        <v>588</v>
      </c>
      <c r="U72" s="52">
        <f t="shared" si="17"/>
        <v>11.76</v>
      </c>
      <c r="V72" s="52">
        <f>385+55+66</f>
        <v>506</v>
      </c>
      <c r="W72" s="52">
        <v>209</v>
      </c>
      <c r="X72" s="53">
        <v>44</v>
      </c>
      <c r="Y72" s="43" t="s">
        <v>128</v>
      </c>
    </row>
    <row r="73" spans="1:46" x14ac:dyDescent="0.3">
      <c r="A73" s="300"/>
      <c r="B73" s="291"/>
      <c r="C73" s="296"/>
      <c r="D73" s="18" t="s">
        <v>406</v>
      </c>
      <c r="E73" s="76">
        <v>9810592000163</v>
      </c>
      <c r="F73" s="16">
        <v>120</v>
      </c>
      <c r="G73" s="8" t="s">
        <v>8</v>
      </c>
      <c r="H73" s="26" t="s">
        <v>27</v>
      </c>
      <c r="I73" s="26" t="s">
        <v>30</v>
      </c>
      <c r="J73" s="26" t="s">
        <v>77</v>
      </c>
      <c r="K73" s="67">
        <v>17000</v>
      </c>
      <c r="L73" s="131">
        <f t="shared" si="18"/>
        <v>4420</v>
      </c>
      <c r="M73" s="157">
        <f t="shared" si="14"/>
        <v>0.1188235294117647</v>
      </c>
      <c r="N73" s="131">
        <f t="shared" si="19"/>
        <v>10200</v>
      </c>
      <c r="O73" s="132">
        <f t="shared" si="15"/>
        <v>0.45882352941176469</v>
      </c>
      <c r="P73" s="73">
        <v>2400</v>
      </c>
      <c r="Q73" s="56">
        <f t="shared" si="20"/>
        <v>189</v>
      </c>
      <c r="R73" s="48">
        <f t="shared" si="16"/>
        <v>2211</v>
      </c>
      <c r="S73" s="52">
        <v>910</v>
      </c>
      <c r="T73" s="52">
        <v>575</v>
      </c>
      <c r="U73" s="52">
        <f t="shared" si="17"/>
        <v>4.791666666666667</v>
      </c>
      <c r="V73" s="52">
        <f>330+110</f>
        <v>440</v>
      </c>
      <c r="W73" s="52">
        <v>286</v>
      </c>
      <c r="X73" s="52"/>
      <c r="Y73" s="41" t="s">
        <v>129</v>
      </c>
    </row>
    <row r="74" spans="1:46" x14ac:dyDescent="0.3">
      <c r="A74" s="300"/>
      <c r="B74" s="291"/>
      <c r="C74" s="296"/>
      <c r="D74" s="18" t="s">
        <v>407</v>
      </c>
      <c r="E74" s="76">
        <v>9810592000160</v>
      </c>
      <c r="F74" s="16">
        <v>65</v>
      </c>
      <c r="G74" s="8" t="s">
        <v>8</v>
      </c>
      <c r="H74" s="26" t="s">
        <v>12</v>
      </c>
      <c r="I74" s="26" t="s">
        <v>31</v>
      </c>
      <c r="J74" s="26" t="s">
        <v>77</v>
      </c>
      <c r="K74" s="67">
        <v>16000</v>
      </c>
      <c r="L74" s="131">
        <f t="shared" si="18"/>
        <v>4160</v>
      </c>
      <c r="M74" s="157">
        <f t="shared" si="14"/>
        <v>0.13500000000000001</v>
      </c>
      <c r="N74" s="131">
        <f t="shared" si="19"/>
        <v>9600</v>
      </c>
      <c r="O74" s="132">
        <f t="shared" si="15"/>
        <v>0.47499999999999998</v>
      </c>
      <c r="P74" s="73">
        <v>2000</v>
      </c>
      <c r="Q74" s="56">
        <f t="shared" si="20"/>
        <v>162</v>
      </c>
      <c r="R74" s="48">
        <f t="shared" si="16"/>
        <v>1838</v>
      </c>
      <c r="S74" s="52">
        <v>500</v>
      </c>
      <c r="T74" s="52">
        <v>370</v>
      </c>
      <c r="U74" s="52">
        <f t="shared" si="17"/>
        <v>5.6923076923076925</v>
      </c>
      <c r="V74" s="52">
        <v>748</v>
      </c>
      <c r="W74" s="52">
        <v>220</v>
      </c>
      <c r="X74" s="52">
        <v>0</v>
      </c>
      <c r="Y74" s="43" t="s">
        <v>135</v>
      </c>
    </row>
    <row r="75" spans="1:46" x14ac:dyDescent="0.3">
      <c r="A75" s="300"/>
      <c r="B75" s="291"/>
      <c r="C75" s="296"/>
      <c r="D75" s="18" t="s">
        <v>408</v>
      </c>
      <c r="E75" s="76">
        <v>9810592000159</v>
      </c>
      <c r="F75" s="12">
        <v>30</v>
      </c>
      <c r="G75" s="8" t="s">
        <v>16</v>
      </c>
      <c r="H75" s="26" t="s">
        <v>12</v>
      </c>
      <c r="I75" s="26" t="s">
        <v>32</v>
      </c>
      <c r="J75" s="26" t="s">
        <v>77</v>
      </c>
      <c r="K75" s="67">
        <v>20000</v>
      </c>
      <c r="L75" s="131">
        <f t="shared" si="18"/>
        <v>5200</v>
      </c>
      <c r="M75" s="157">
        <f t="shared" si="14"/>
        <v>0.14499999999999999</v>
      </c>
      <c r="N75" s="131">
        <f t="shared" si="19"/>
        <v>12000</v>
      </c>
      <c r="O75" s="132">
        <f t="shared" si="15"/>
        <v>0.48499999999999999</v>
      </c>
      <c r="P75" s="73">
        <v>2300</v>
      </c>
      <c r="Q75" s="56">
        <f t="shared" si="20"/>
        <v>206</v>
      </c>
      <c r="R75" s="48">
        <f t="shared" si="16"/>
        <v>2094</v>
      </c>
      <c r="S75" s="52">
        <v>202</v>
      </c>
      <c r="T75" s="52">
        <v>198</v>
      </c>
      <c r="U75" s="52">
        <f t="shared" si="17"/>
        <v>6.6</v>
      </c>
      <c r="V75" s="52">
        <v>1496</v>
      </c>
      <c r="W75" s="52">
        <v>198</v>
      </c>
      <c r="X75" s="52">
        <v>0</v>
      </c>
      <c r="Y75" s="43" t="s">
        <v>137</v>
      </c>
    </row>
    <row r="76" spans="1:46" x14ac:dyDescent="0.3">
      <c r="A76" s="300"/>
      <c r="B76" s="291"/>
      <c r="C76" s="296"/>
      <c r="D76" s="18" t="s">
        <v>409</v>
      </c>
      <c r="E76" s="76">
        <v>9810592000161</v>
      </c>
      <c r="F76" s="12">
        <v>152</v>
      </c>
      <c r="G76" s="8" t="s">
        <v>16</v>
      </c>
      <c r="H76" s="26" t="s">
        <v>12</v>
      </c>
      <c r="I76" s="26" t="s">
        <v>33</v>
      </c>
      <c r="J76" s="26" t="s">
        <v>77</v>
      </c>
      <c r="K76" s="67">
        <v>19000</v>
      </c>
      <c r="L76" s="131">
        <f t="shared" si="18"/>
        <v>4940</v>
      </c>
      <c r="M76" s="157">
        <f t="shared" si="14"/>
        <v>9.1578947368421051E-2</v>
      </c>
      <c r="N76" s="131">
        <f t="shared" si="19"/>
        <v>11400</v>
      </c>
      <c r="O76" s="132">
        <f t="shared" si="15"/>
        <v>0.43157894736842106</v>
      </c>
      <c r="P76" s="73">
        <v>3200</v>
      </c>
      <c r="Q76" s="56">
        <f t="shared" si="20"/>
        <v>180</v>
      </c>
      <c r="R76" s="48">
        <f t="shared" si="16"/>
        <v>3020</v>
      </c>
      <c r="S76" s="52">
        <v>800</v>
      </c>
      <c r="T76" s="52">
        <v>600</v>
      </c>
      <c r="U76" s="52">
        <f t="shared" si="17"/>
        <v>3.9473684210526314</v>
      </c>
      <c r="V76" s="52">
        <v>1403</v>
      </c>
      <c r="W76" s="52">
        <v>217</v>
      </c>
      <c r="X76" s="52">
        <v>0</v>
      </c>
      <c r="Y76" s="43" t="s">
        <v>137</v>
      </c>
    </row>
    <row r="77" spans="1:46" x14ac:dyDescent="0.3">
      <c r="A77" s="300"/>
      <c r="B77" s="291"/>
      <c r="C77" s="296"/>
      <c r="D77" s="115" t="s">
        <v>410</v>
      </c>
      <c r="E77" s="150">
        <v>9810592000155</v>
      </c>
      <c r="F77" s="12">
        <v>50</v>
      </c>
      <c r="G77" s="8" t="s">
        <v>16</v>
      </c>
      <c r="H77" s="26" t="s">
        <v>104</v>
      </c>
      <c r="I77" s="26" t="s">
        <v>162</v>
      </c>
      <c r="J77" s="26" t="s">
        <v>77</v>
      </c>
      <c r="K77" s="67">
        <v>22000</v>
      </c>
      <c r="L77" s="131">
        <f t="shared" si="18"/>
        <v>5720</v>
      </c>
      <c r="M77" s="157">
        <f t="shared" si="14"/>
        <v>9.636363636363636E-2</v>
      </c>
      <c r="N77" s="131">
        <f t="shared" si="19"/>
        <v>13200</v>
      </c>
      <c r="O77" s="132">
        <f t="shared" si="15"/>
        <v>0.43636363636363634</v>
      </c>
      <c r="P77" s="73">
        <v>3600</v>
      </c>
      <c r="Q77" s="56">
        <f t="shared" si="20"/>
        <v>355</v>
      </c>
      <c r="R77" s="48">
        <f t="shared" si="16"/>
        <v>3245</v>
      </c>
      <c r="S77" s="52">
        <v>700</v>
      </c>
      <c r="T77" s="52">
        <v>510</v>
      </c>
      <c r="U77" s="52">
        <f t="shared" si="17"/>
        <v>10.199999999999999</v>
      </c>
      <c r="V77" s="52">
        <v>1716</v>
      </c>
      <c r="W77" s="53">
        <f>290*1.1</f>
        <v>319</v>
      </c>
      <c r="X77" s="52">
        <v>0</v>
      </c>
      <c r="Y77" s="42" t="s">
        <v>126</v>
      </c>
      <c r="Z77" s="116" t="s">
        <v>296</v>
      </c>
    </row>
    <row r="78" spans="1:46" x14ac:dyDescent="0.3">
      <c r="A78" s="300"/>
      <c r="B78" s="291"/>
      <c r="C78" s="296"/>
      <c r="D78" s="18" t="s">
        <v>411</v>
      </c>
      <c r="E78" s="76">
        <v>9810592000164</v>
      </c>
      <c r="F78" s="12">
        <v>50</v>
      </c>
      <c r="G78" s="8" t="s">
        <v>8</v>
      </c>
      <c r="H78" s="26" t="s">
        <v>12</v>
      </c>
      <c r="I78" s="26" t="s">
        <v>33</v>
      </c>
      <c r="J78" s="26" t="s">
        <v>77</v>
      </c>
      <c r="K78" s="67">
        <v>20000</v>
      </c>
      <c r="L78" s="131">
        <f t="shared" si="18"/>
        <v>5200</v>
      </c>
      <c r="M78" s="157">
        <f t="shared" si="14"/>
        <v>0.13500000000000001</v>
      </c>
      <c r="N78" s="131">
        <f t="shared" si="19"/>
        <v>12000</v>
      </c>
      <c r="O78" s="132">
        <f t="shared" si="15"/>
        <v>0.47499999999999998</v>
      </c>
      <c r="P78" s="73">
        <v>2500</v>
      </c>
      <c r="Q78" s="56">
        <f t="shared" si="20"/>
        <v>310</v>
      </c>
      <c r="R78" s="48">
        <f t="shared" si="16"/>
        <v>2190</v>
      </c>
      <c r="S78" s="52">
        <v>500</v>
      </c>
      <c r="T78" s="52">
        <v>350</v>
      </c>
      <c r="U78" s="52">
        <f t="shared" si="17"/>
        <v>7</v>
      </c>
      <c r="V78" s="52">
        <v>1216</v>
      </c>
      <c r="W78" s="52">
        <v>124</v>
      </c>
      <c r="X78" s="52">
        <v>0</v>
      </c>
      <c r="Y78" s="43" t="s">
        <v>137</v>
      </c>
    </row>
    <row r="79" spans="1:46" x14ac:dyDescent="0.3">
      <c r="A79" s="300"/>
      <c r="B79" s="291"/>
      <c r="C79" s="296"/>
      <c r="D79" s="19" t="s">
        <v>412</v>
      </c>
      <c r="E79" s="76">
        <v>9810592000393</v>
      </c>
      <c r="F79" s="16">
        <v>30</v>
      </c>
      <c r="G79" s="8" t="s">
        <v>16</v>
      </c>
      <c r="H79" s="26" t="s">
        <v>34</v>
      </c>
      <c r="I79" s="26" t="s">
        <v>35</v>
      </c>
      <c r="J79" s="26" t="s">
        <v>77</v>
      </c>
      <c r="K79" s="67">
        <v>12000</v>
      </c>
      <c r="L79" s="131">
        <f t="shared" si="18"/>
        <v>3120</v>
      </c>
      <c r="M79" s="157">
        <f t="shared" si="14"/>
        <v>0.10166666666666667</v>
      </c>
      <c r="N79" s="131">
        <f t="shared" si="19"/>
        <v>7200</v>
      </c>
      <c r="O79" s="132">
        <f t="shared" si="15"/>
        <v>0.44166666666666665</v>
      </c>
      <c r="P79" s="73">
        <v>1900</v>
      </c>
      <c r="Q79" s="56">
        <f t="shared" si="20"/>
        <v>170</v>
      </c>
      <c r="R79" s="48">
        <f t="shared" si="16"/>
        <v>1730</v>
      </c>
      <c r="S79" s="52">
        <v>800</v>
      </c>
      <c r="T79" s="52">
        <v>388</v>
      </c>
      <c r="U79" s="52">
        <f t="shared" si="17"/>
        <v>12.933333333333334</v>
      </c>
      <c r="V79" s="52">
        <v>352</v>
      </c>
      <c r="W79" s="52">
        <v>190</v>
      </c>
      <c r="X79" s="52">
        <v>0</v>
      </c>
      <c r="Y79" s="41" t="s">
        <v>116</v>
      </c>
    </row>
    <row r="80" spans="1:46" x14ac:dyDescent="0.3">
      <c r="A80" s="300"/>
      <c r="B80" s="291"/>
      <c r="C80" s="296"/>
      <c r="D80" s="19" t="s">
        <v>413</v>
      </c>
      <c r="E80" s="76">
        <v>9810592000392</v>
      </c>
      <c r="F80" s="16">
        <v>30</v>
      </c>
      <c r="G80" s="8" t="s">
        <v>16</v>
      </c>
      <c r="H80" s="26" t="s">
        <v>34</v>
      </c>
      <c r="I80" s="26" t="s">
        <v>35</v>
      </c>
      <c r="J80" s="26" t="s">
        <v>77</v>
      </c>
      <c r="K80" s="67">
        <v>12000</v>
      </c>
      <c r="L80" s="131">
        <f t="shared" si="18"/>
        <v>3120</v>
      </c>
      <c r="M80" s="157">
        <f t="shared" si="14"/>
        <v>0.10166666666666667</v>
      </c>
      <c r="N80" s="131">
        <f t="shared" si="19"/>
        <v>7200</v>
      </c>
      <c r="O80" s="132">
        <f t="shared" si="15"/>
        <v>0.44166666666666665</v>
      </c>
      <c r="P80" s="73">
        <v>1900</v>
      </c>
      <c r="Q80" s="56">
        <f t="shared" si="20"/>
        <v>170</v>
      </c>
      <c r="R80" s="48">
        <f t="shared" si="16"/>
        <v>1730</v>
      </c>
      <c r="S80" s="52">
        <v>800</v>
      </c>
      <c r="T80" s="52">
        <v>388</v>
      </c>
      <c r="U80" s="52">
        <f t="shared" si="17"/>
        <v>12.933333333333334</v>
      </c>
      <c r="V80" s="52">
        <v>352</v>
      </c>
      <c r="W80" s="52">
        <v>190</v>
      </c>
      <c r="X80" s="52">
        <v>0</v>
      </c>
      <c r="Y80" s="41" t="s">
        <v>116</v>
      </c>
    </row>
    <row r="81" spans="1:28" x14ac:dyDescent="0.3">
      <c r="A81" s="300"/>
      <c r="B81" s="291" t="s">
        <v>102</v>
      </c>
      <c r="C81" s="296" t="s">
        <v>36</v>
      </c>
      <c r="D81" s="18" t="s">
        <v>414</v>
      </c>
      <c r="E81" s="76">
        <v>9810592000192</v>
      </c>
      <c r="F81" s="12">
        <v>100</v>
      </c>
      <c r="G81" s="8" t="s">
        <v>8</v>
      </c>
      <c r="H81" s="26" t="s">
        <v>27</v>
      </c>
      <c r="I81" s="26" t="s">
        <v>35</v>
      </c>
      <c r="J81" s="26" t="s">
        <v>76</v>
      </c>
      <c r="K81" s="67">
        <v>18000</v>
      </c>
      <c r="L81" s="131">
        <f t="shared" si="18"/>
        <v>4680</v>
      </c>
      <c r="M81" s="157">
        <f t="shared" si="14"/>
        <v>0.16555555555555557</v>
      </c>
      <c r="N81" s="131">
        <f t="shared" si="19"/>
        <v>10800</v>
      </c>
      <c r="O81" s="132">
        <f t="shared" si="15"/>
        <v>0.50555555555555554</v>
      </c>
      <c r="P81" s="73">
        <v>1700</v>
      </c>
      <c r="Q81" s="56">
        <f t="shared" si="20"/>
        <v>220.5</v>
      </c>
      <c r="R81" s="48">
        <f t="shared" si="16"/>
        <v>1479.5</v>
      </c>
      <c r="S81" s="52">
        <v>590</v>
      </c>
      <c r="T81" s="52">
        <v>334</v>
      </c>
      <c r="U81" s="52">
        <f t="shared" si="17"/>
        <v>3.34</v>
      </c>
      <c r="V81" s="52">
        <v>407</v>
      </c>
      <c r="W81" s="53">
        <f>135*1.1</f>
        <v>148.5</v>
      </c>
      <c r="X81" s="52"/>
      <c r="Y81" s="43" t="s">
        <v>138</v>
      </c>
      <c r="AA81" s="40" t="s">
        <v>202</v>
      </c>
      <c r="AB81" s="40">
        <v>5</v>
      </c>
    </row>
    <row r="82" spans="1:28" x14ac:dyDescent="0.3">
      <c r="A82" s="300"/>
      <c r="B82" s="294"/>
      <c r="C82" s="296"/>
      <c r="D82" s="18" t="s">
        <v>415</v>
      </c>
      <c r="E82" s="76">
        <v>9810592000195</v>
      </c>
      <c r="F82" s="12">
        <v>100</v>
      </c>
      <c r="G82" s="8" t="s">
        <v>8</v>
      </c>
      <c r="H82" s="26" t="s">
        <v>27</v>
      </c>
      <c r="I82" s="26" t="s">
        <v>97</v>
      </c>
      <c r="J82" s="26" t="s">
        <v>76</v>
      </c>
      <c r="K82" s="67">
        <v>17000</v>
      </c>
      <c r="L82" s="131">
        <f t="shared" si="18"/>
        <v>4420</v>
      </c>
      <c r="M82" s="157">
        <f t="shared" si="14"/>
        <v>0.13058823529411764</v>
      </c>
      <c r="N82" s="131">
        <f t="shared" si="19"/>
        <v>10200</v>
      </c>
      <c r="O82" s="132">
        <f t="shared" si="15"/>
        <v>0.47058823529411764</v>
      </c>
      <c r="P82" s="73">
        <v>2200</v>
      </c>
      <c r="Q82" s="56">
        <f t="shared" si="20"/>
        <v>203.5</v>
      </c>
      <c r="R82" s="48">
        <f t="shared" si="16"/>
        <v>1996.5</v>
      </c>
      <c r="S82" s="52">
        <v>690</v>
      </c>
      <c r="T82" s="52">
        <v>509</v>
      </c>
      <c r="U82" s="52">
        <f t="shared" si="17"/>
        <v>5.09</v>
      </c>
      <c r="V82" s="53">
        <f>418+121+49.5</f>
        <v>588.5</v>
      </c>
      <c r="W82" s="52">
        <v>209</v>
      </c>
      <c r="X82" s="52"/>
      <c r="Y82" s="41" t="s">
        <v>130</v>
      </c>
    </row>
    <row r="83" spans="1:28" x14ac:dyDescent="0.3">
      <c r="A83" s="300"/>
      <c r="B83" s="294"/>
      <c r="C83" s="296"/>
      <c r="D83" s="18" t="s">
        <v>416</v>
      </c>
      <c r="E83" s="76">
        <v>9810592000193</v>
      </c>
      <c r="F83" s="16">
        <v>250</v>
      </c>
      <c r="G83" s="8" t="s">
        <v>16</v>
      </c>
      <c r="H83" s="26" t="s">
        <v>27</v>
      </c>
      <c r="I83" s="26" t="s">
        <v>30</v>
      </c>
      <c r="J83" s="26"/>
      <c r="K83" s="67">
        <v>10000</v>
      </c>
      <c r="L83" s="131">
        <f t="shared" si="18"/>
        <v>2600</v>
      </c>
      <c r="M83" s="157">
        <f t="shared" si="14"/>
        <v>0.11</v>
      </c>
      <c r="N83" s="131">
        <f t="shared" si="19"/>
        <v>6000</v>
      </c>
      <c r="O83" s="132">
        <f t="shared" si="15"/>
        <v>0.45</v>
      </c>
      <c r="P83" s="73">
        <v>1500</v>
      </c>
      <c r="Q83" s="56">
        <f t="shared" si="20"/>
        <v>119</v>
      </c>
      <c r="R83" s="48">
        <f t="shared" si="16"/>
        <v>1381</v>
      </c>
      <c r="S83" s="52">
        <v>510</v>
      </c>
      <c r="T83" s="52">
        <v>337</v>
      </c>
      <c r="U83" s="52">
        <f t="shared" si="17"/>
        <v>1.3480000000000001</v>
      </c>
      <c r="V83" s="52">
        <f>220+88+44</f>
        <v>352</v>
      </c>
      <c r="W83" s="52">
        <v>0</v>
      </c>
      <c r="X83" s="53">
        <f>17+165</f>
        <v>182</v>
      </c>
      <c r="Y83" s="43" t="s">
        <v>139</v>
      </c>
    </row>
    <row r="84" spans="1:28" x14ac:dyDescent="0.3">
      <c r="A84" s="300"/>
      <c r="B84" s="294"/>
      <c r="C84" s="296"/>
      <c r="D84" s="18" t="s">
        <v>417</v>
      </c>
      <c r="E84" s="76">
        <v>9810592000194</v>
      </c>
      <c r="F84" s="12">
        <v>100</v>
      </c>
      <c r="G84" s="8" t="s">
        <v>16</v>
      </c>
      <c r="H84" s="26" t="s">
        <v>27</v>
      </c>
      <c r="I84" s="26" t="s">
        <v>97</v>
      </c>
      <c r="J84" s="26"/>
      <c r="K84" s="67">
        <v>10000</v>
      </c>
      <c r="L84" s="131">
        <f t="shared" si="18"/>
        <v>2600</v>
      </c>
      <c r="M84" s="157">
        <f t="shared" si="14"/>
        <v>0.1</v>
      </c>
      <c r="N84" s="131">
        <f t="shared" si="19"/>
        <v>6000</v>
      </c>
      <c r="O84" s="132">
        <f t="shared" si="15"/>
        <v>0.44</v>
      </c>
      <c r="P84" s="73">
        <v>1600</v>
      </c>
      <c r="Q84" s="56">
        <f t="shared" si="20"/>
        <v>421</v>
      </c>
      <c r="R84" s="48">
        <f t="shared" si="16"/>
        <v>1179</v>
      </c>
      <c r="S84" s="52">
        <v>390</v>
      </c>
      <c r="T84" s="52">
        <v>314</v>
      </c>
      <c r="U84" s="52">
        <f t="shared" si="17"/>
        <v>3.14</v>
      </c>
      <c r="V84" s="52">
        <f>330+77+38.5</f>
        <v>445.5</v>
      </c>
      <c r="W84" s="52">
        <v>0</v>
      </c>
      <c r="X84" s="53">
        <f>13+16.5</f>
        <v>29.5</v>
      </c>
      <c r="Y84" s="43" t="s">
        <v>139</v>
      </c>
    </row>
    <row r="85" spans="1:28" x14ac:dyDescent="0.3">
      <c r="A85" s="300"/>
      <c r="B85" s="294"/>
      <c r="C85" s="296"/>
      <c r="D85" s="81" t="s">
        <v>418</v>
      </c>
      <c r="E85" s="76">
        <v>9810592000390</v>
      </c>
      <c r="F85" s="16">
        <v>100</v>
      </c>
      <c r="G85" s="8" t="s">
        <v>8</v>
      </c>
      <c r="H85" s="26" t="s">
        <v>38</v>
      </c>
      <c r="I85" s="26" t="s">
        <v>28</v>
      </c>
      <c r="J85" s="26" t="s">
        <v>77</v>
      </c>
      <c r="K85" s="67">
        <v>26000</v>
      </c>
      <c r="L85" s="131">
        <f t="shared" si="18"/>
        <v>6760</v>
      </c>
      <c r="M85" s="157">
        <f t="shared" si="14"/>
        <v>0.13307692307692306</v>
      </c>
      <c r="N85" s="131">
        <f t="shared" si="19"/>
        <v>15600</v>
      </c>
      <c r="O85" s="132">
        <f t="shared" si="15"/>
        <v>0.47307692307692306</v>
      </c>
      <c r="P85" s="73">
        <v>3300</v>
      </c>
      <c r="Q85" s="56">
        <f t="shared" si="20"/>
        <v>192</v>
      </c>
      <c r="R85" s="48">
        <f t="shared" si="16"/>
        <v>3108</v>
      </c>
      <c r="S85" s="52">
        <v>860</v>
      </c>
      <c r="T85" s="52">
        <v>1340</v>
      </c>
      <c r="U85" s="52">
        <f t="shared" si="17"/>
        <v>13.4</v>
      </c>
      <c r="V85" s="52">
        <v>589</v>
      </c>
      <c r="W85" s="52">
        <v>275</v>
      </c>
      <c r="X85" s="53">
        <v>44</v>
      </c>
      <c r="Y85" s="41" t="s">
        <v>115</v>
      </c>
    </row>
    <row r="86" spans="1:28" x14ac:dyDescent="0.3">
      <c r="A86" s="300"/>
      <c r="B86" s="291" t="s">
        <v>103</v>
      </c>
      <c r="C86" s="296" t="s">
        <v>41</v>
      </c>
      <c r="D86" s="18" t="s">
        <v>419</v>
      </c>
      <c r="E86" s="76">
        <v>9810592000116</v>
      </c>
      <c r="F86" s="12">
        <v>150</v>
      </c>
      <c r="G86" s="8" t="s">
        <v>16</v>
      </c>
      <c r="H86" s="26" t="s">
        <v>12</v>
      </c>
      <c r="I86" s="26" t="s">
        <v>32</v>
      </c>
      <c r="J86" s="26" t="s">
        <v>78</v>
      </c>
      <c r="K86" s="67">
        <v>22000</v>
      </c>
      <c r="L86" s="131">
        <f t="shared" si="18"/>
        <v>5720</v>
      </c>
      <c r="M86" s="157">
        <f t="shared" si="14"/>
        <v>0.10090909090909091</v>
      </c>
      <c r="N86" s="131">
        <f t="shared" si="19"/>
        <v>13200</v>
      </c>
      <c r="O86" s="132">
        <f t="shared" si="15"/>
        <v>0.44090909090909092</v>
      </c>
      <c r="P86" s="73">
        <v>3500</v>
      </c>
      <c r="Q86" s="56">
        <f t="shared" si="20"/>
        <v>529</v>
      </c>
      <c r="R86" s="48">
        <f t="shared" si="16"/>
        <v>2971</v>
      </c>
      <c r="S86" s="52">
        <v>900</v>
      </c>
      <c r="T86" s="52">
        <v>520</v>
      </c>
      <c r="U86" s="52">
        <f t="shared" si="17"/>
        <v>3.4666666666666668</v>
      </c>
      <c r="V86" s="52">
        <v>1364</v>
      </c>
      <c r="W86" s="52">
        <v>187</v>
      </c>
      <c r="X86" s="52">
        <v>0</v>
      </c>
      <c r="Y86" s="43" t="s">
        <v>137</v>
      </c>
      <c r="AA86" s="40" t="s">
        <v>203</v>
      </c>
      <c r="AB86" s="40">
        <v>5</v>
      </c>
    </row>
    <row r="87" spans="1:28" x14ac:dyDescent="0.3">
      <c r="A87" s="300"/>
      <c r="B87" s="294"/>
      <c r="C87" s="296"/>
      <c r="D87" s="18" t="s">
        <v>501</v>
      </c>
      <c r="E87" s="76">
        <v>9810592000118</v>
      </c>
      <c r="F87" s="12">
        <v>150</v>
      </c>
      <c r="G87" s="8" t="s">
        <v>16</v>
      </c>
      <c r="H87" s="26" t="s">
        <v>12</v>
      </c>
      <c r="I87" s="26" t="s">
        <v>33</v>
      </c>
      <c r="J87" s="26" t="s">
        <v>78</v>
      </c>
      <c r="K87" s="67">
        <v>22000</v>
      </c>
      <c r="L87" s="131">
        <f t="shared" si="18"/>
        <v>5720</v>
      </c>
      <c r="M87" s="157">
        <f t="shared" si="14"/>
        <v>9.1818181818181813E-2</v>
      </c>
      <c r="N87" s="131">
        <f t="shared" si="19"/>
        <v>13200</v>
      </c>
      <c r="O87" s="132">
        <f t="shared" si="15"/>
        <v>0.43181818181818182</v>
      </c>
      <c r="P87" s="73">
        <v>3700</v>
      </c>
      <c r="Q87" s="56">
        <f t="shared" si="20"/>
        <v>399</v>
      </c>
      <c r="R87" s="48">
        <f t="shared" si="16"/>
        <v>3301</v>
      </c>
      <c r="S87" s="52">
        <v>1100</v>
      </c>
      <c r="T87" s="52">
        <v>650</v>
      </c>
      <c r="U87" s="52">
        <f t="shared" si="17"/>
        <v>4.333333333333333</v>
      </c>
      <c r="V87" s="52">
        <v>1364</v>
      </c>
      <c r="W87" s="52">
        <v>187</v>
      </c>
      <c r="X87" s="52">
        <v>0</v>
      </c>
      <c r="Y87" s="43" t="s">
        <v>137</v>
      </c>
    </row>
    <row r="88" spans="1:28" x14ac:dyDescent="0.3">
      <c r="A88" s="300"/>
      <c r="B88" s="294"/>
      <c r="C88" s="296"/>
      <c r="D88" s="18" t="s">
        <v>420</v>
      </c>
      <c r="E88" s="76">
        <v>9810592000119</v>
      </c>
      <c r="F88" s="12">
        <v>30</v>
      </c>
      <c r="G88" s="8" t="s">
        <v>16</v>
      </c>
      <c r="H88" s="26" t="s">
        <v>12</v>
      </c>
      <c r="I88" s="26" t="s">
        <v>33</v>
      </c>
      <c r="J88" s="26" t="s">
        <v>78</v>
      </c>
      <c r="K88" s="67">
        <v>28000</v>
      </c>
      <c r="L88" s="131">
        <f t="shared" si="18"/>
        <v>7280</v>
      </c>
      <c r="M88" s="157">
        <f t="shared" si="14"/>
        <v>0.14214285714285715</v>
      </c>
      <c r="N88" s="131">
        <f t="shared" si="19"/>
        <v>16800</v>
      </c>
      <c r="O88" s="132">
        <f t="shared" si="15"/>
        <v>0.48214285714285715</v>
      </c>
      <c r="P88" s="73">
        <v>3300</v>
      </c>
      <c r="Q88" s="56">
        <f t="shared" si="20"/>
        <v>413</v>
      </c>
      <c r="R88" s="48">
        <f t="shared" si="16"/>
        <v>2887</v>
      </c>
      <c r="S88" s="52">
        <v>900</v>
      </c>
      <c r="T88" s="52">
        <v>590</v>
      </c>
      <c r="U88" s="52">
        <f t="shared" si="17"/>
        <v>19.666666666666668</v>
      </c>
      <c r="V88" s="52">
        <v>1221</v>
      </c>
      <c r="W88" s="52">
        <v>176</v>
      </c>
      <c r="X88" s="52"/>
      <c r="Y88" s="43" t="s">
        <v>137</v>
      </c>
    </row>
    <row r="89" spans="1:28" x14ac:dyDescent="0.3">
      <c r="A89" s="300"/>
      <c r="B89" s="294"/>
      <c r="C89" s="296"/>
      <c r="D89" s="18" t="s">
        <v>421</v>
      </c>
      <c r="E89" s="76">
        <v>9810592000117</v>
      </c>
      <c r="F89" s="12">
        <v>50</v>
      </c>
      <c r="G89" s="8" t="s">
        <v>8</v>
      </c>
      <c r="H89" s="26" t="s">
        <v>12</v>
      </c>
      <c r="I89" s="26" t="s">
        <v>33</v>
      </c>
      <c r="J89" s="26" t="s">
        <v>78</v>
      </c>
      <c r="K89" s="67">
        <v>22000</v>
      </c>
      <c r="L89" s="131">
        <f t="shared" si="18"/>
        <v>5720</v>
      </c>
      <c r="M89" s="157">
        <f t="shared" si="14"/>
        <v>0.13272727272727272</v>
      </c>
      <c r="N89" s="131">
        <f t="shared" si="19"/>
        <v>13200</v>
      </c>
      <c r="O89" s="132">
        <f t="shared" si="15"/>
        <v>0.47272727272727272</v>
      </c>
      <c r="P89" s="73">
        <v>2800</v>
      </c>
      <c r="Q89" s="56">
        <f t="shared" si="20"/>
        <v>323</v>
      </c>
      <c r="R89" s="48">
        <f t="shared" si="16"/>
        <v>2477</v>
      </c>
      <c r="S89" s="52">
        <v>700</v>
      </c>
      <c r="T89" s="52">
        <v>490</v>
      </c>
      <c r="U89" s="52">
        <f t="shared" si="17"/>
        <v>9.8000000000000007</v>
      </c>
      <c r="V89" s="52">
        <v>1100</v>
      </c>
      <c r="W89" s="52">
        <v>187</v>
      </c>
      <c r="X89" s="52"/>
      <c r="Y89" s="43" t="s">
        <v>137</v>
      </c>
    </row>
    <row r="90" spans="1:28" x14ac:dyDescent="0.3">
      <c r="A90" s="300"/>
      <c r="B90" s="294"/>
      <c r="C90" s="296"/>
      <c r="D90" s="18" t="s">
        <v>422</v>
      </c>
      <c r="E90" s="76">
        <v>9810592000120</v>
      </c>
      <c r="F90" s="12">
        <v>15</v>
      </c>
      <c r="G90" s="8" t="s">
        <v>8</v>
      </c>
      <c r="H90" s="26" t="s">
        <v>12</v>
      </c>
      <c r="I90" s="26" t="s">
        <v>33</v>
      </c>
      <c r="J90" s="26" t="s">
        <v>78</v>
      </c>
      <c r="K90" s="67">
        <v>19000</v>
      </c>
      <c r="L90" s="131">
        <f t="shared" si="18"/>
        <v>4940</v>
      </c>
      <c r="M90" s="157">
        <f t="shared" si="14"/>
        <v>0.12315789473684211</v>
      </c>
      <c r="N90" s="131">
        <f t="shared" si="19"/>
        <v>11400</v>
      </c>
      <c r="O90" s="132">
        <f t="shared" si="15"/>
        <v>0.4631578947368421</v>
      </c>
      <c r="P90" s="73">
        <v>2600</v>
      </c>
      <c r="Q90" s="56">
        <f t="shared" si="20"/>
        <v>259</v>
      </c>
      <c r="R90" s="48">
        <f t="shared" si="16"/>
        <v>2341</v>
      </c>
      <c r="S90" s="52">
        <v>308</v>
      </c>
      <c r="T90" s="52">
        <v>592</v>
      </c>
      <c r="U90" s="52">
        <f t="shared" si="17"/>
        <v>39.466666666666669</v>
      </c>
      <c r="V90" s="52">
        <v>1232</v>
      </c>
      <c r="W90" s="52">
        <v>209</v>
      </c>
      <c r="X90" s="52"/>
      <c r="Y90" s="43" t="s">
        <v>137</v>
      </c>
    </row>
    <row r="91" spans="1:28" x14ac:dyDescent="0.3">
      <c r="A91" s="300"/>
      <c r="B91" s="299" t="s">
        <v>42</v>
      </c>
      <c r="C91" s="296" t="s">
        <v>43</v>
      </c>
      <c r="D91" s="18" t="s">
        <v>423</v>
      </c>
      <c r="E91" s="76">
        <v>9810592000166</v>
      </c>
      <c r="F91" s="12">
        <v>150</v>
      </c>
      <c r="G91" s="8" t="s">
        <v>16</v>
      </c>
      <c r="H91" s="26" t="s">
        <v>12</v>
      </c>
      <c r="I91" s="26" t="s">
        <v>97</v>
      </c>
      <c r="J91" s="26" t="s">
        <v>78</v>
      </c>
      <c r="K91" s="67">
        <v>13000</v>
      </c>
      <c r="L91" s="131">
        <f t="shared" si="18"/>
        <v>3380</v>
      </c>
      <c r="M91" s="157">
        <f t="shared" si="14"/>
        <v>0.12923076923076923</v>
      </c>
      <c r="N91" s="131">
        <f t="shared" si="19"/>
        <v>7800</v>
      </c>
      <c r="O91" s="132">
        <f t="shared" si="15"/>
        <v>0.46923076923076923</v>
      </c>
      <c r="P91" s="73">
        <v>1700</v>
      </c>
      <c r="Q91" s="56">
        <f t="shared" si="20"/>
        <v>198.5</v>
      </c>
      <c r="R91" s="48">
        <f t="shared" si="16"/>
        <v>1501.5</v>
      </c>
      <c r="S91" s="52">
        <v>250</v>
      </c>
      <c r="T91" s="52">
        <v>660</v>
      </c>
      <c r="U91" s="52">
        <f t="shared" si="17"/>
        <v>4.4000000000000004</v>
      </c>
      <c r="V91" s="52">
        <f>330+38.5+77</f>
        <v>445.5</v>
      </c>
      <c r="W91" s="53">
        <v>146</v>
      </c>
      <c r="X91" s="52"/>
      <c r="Y91" s="43" t="s">
        <v>137</v>
      </c>
      <c r="AA91" s="40" t="s">
        <v>204</v>
      </c>
      <c r="AB91" s="40">
        <v>7</v>
      </c>
    </row>
    <row r="92" spans="1:28" x14ac:dyDescent="0.3">
      <c r="A92" s="300"/>
      <c r="B92" s="300"/>
      <c r="C92" s="296"/>
      <c r="D92" s="18" t="s">
        <v>424</v>
      </c>
      <c r="E92" s="76">
        <v>9810592000169</v>
      </c>
      <c r="F92" s="12">
        <v>60</v>
      </c>
      <c r="G92" s="8" t="s">
        <v>16</v>
      </c>
      <c r="H92" s="26" t="s">
        <v>12</v>
      </c>
      <c r="I92" s="26" t="s">
        <v>30</v>
      </c>
      <c r="J92" s="26" t="s">
        <v>78</v>
      </c>
      <c r="K92" s="67">
        <v>14000</v>
      </c>
      <c r="L92" s="131">
        <f t="shared" si="18"/>
        <v>3640</v>
      </c>
      <c r="M92" s="157">
        <f t="shared" si="14"/>
        <v>0.13142857142857142</v>
      </c>
      <c r="N92" s="131">
        <f t="shared" si="19"/>
        <v>8400</v>
      </c>
      <c r="O92" s="132">
        <f t="shared" si="15"/>
        <v>0.47142857142857142</v>
      </c>
      <c r="P92" s="73">
        <v>1800</v>
      </c>
      <c r="Q92" s="56">
        <f t="shared" si="20"/>
        <v>218</v>
      </c>
      <c r="R92" s="48">
        <f t="shared" si="16"/>
        <v>1582</v>
      </c>
      <c r="S92" s="52">
        <v>240</v>
      </c>
      <c r="T92" s="52">
        <v>550</v>
      </c>
      <c r="U92" s="52">
        <f t="shared" si="17"/>
        <v>9.1666666666666661</v>
      </c>
      <c r="V92" s="52">
        <f>319+308</f>
        <v>627</v>
      </c>
      <c r="W92" s="52">
        <v>165</v>
      </c>
      <c r="X92" s="52"/>
      <c r="Y92" s="43" t="s">
        <v>137</v>
      </c>
    </row>
    <row r="93" spans="1:28" x14ac:dyDescent="0.3">
      <c r="A93" s="300"/>
      <c r="B93" s="300"/>
      <c r="C93" s="296"/>
      <c r="D93" s="18" t="s">
        <v>425</v>
      </c>
      <c r="E93" s="76">
        <v>9810592000170</v>
      </c>
      <c r="F93" s="12">
        <v>150</v>
      </c>
      <c r="G93" s="8" t="s">
        <v>16</v>
      </c>
      <c r="H93" s="26" t="s">
        <v>12</v>
      </c>
      <c r="I93" s="26" t="s">
        <v>97</v>
      </c>
      <c r="J93" s="26" t="s">
        <v>78</v>
      </c>
      <c r="K93" s="67">
        <v>13000</v>
      </c>
      <c r="L93" s="131">
        <f t="shared" si="18"/>
        <v>3380</v>
      </c>
      <c r="M93" s="157">
        <f t="shared" si="14"/>
        <v>0.10615384615384615</v>
      </c>
      <c r="N93" s="131">
        <f t="shared" si="19"/>
        <v>7800</v>
      </c>
      <c r="O93" s="132">
        <f t="shared" si="15"/>
        <v>0.44615384615384618</v>
      </c>
      <c r="P93" s="73">
        <v>2000</v>
      </c>
      <c r="Q93" s="56">
        <f t="shared" si="20"/>
        <v>228.5</v>
      </c>
      <c r="R93" s="48">
        <f t="shared" si="16"/>
        <v>1771.5</v>
      </c>
      <c r="S93" s="52">
        <v>220</v>
      </c>
      <c r="T93" s="52">
        <v>930</v>
      </c>
      <c r="U93" s="52">
        <f t="shared" si="17"/>
        <v>6.2</v>
      </c>
      <c r="V93" s="52">
        <f>330+38.5+77</f>
        <v>445.5</v>
      </c>
      <c r="W93" s="53">
        <f>160*1.1</f>
        <v>176</v>
      </c>
      <c r="X93" s="52"/>
      <c r="Y93" s="43" t="s">
        <v>137</v>
      </c>
    </row>
    <row r="94" spans="1:28" x14ac:dyDescent="0.3">
      <c r="A94" s="300"/>
      <c r="B94" s="300"/>
      <c r="C94" s="296"/>
      <c r="D94" s="18" t="s">
        <v>426</v>
      </c>
      <c r="E94" s="76">
        <v>9810592000168</v>
      </c>
      <c r="F94" s="12">
        <v>50</v>
      </c>
      <c r="G94" s="8" t="s">
        <v>8</v>
      </c>
      <c r="H94" s="26" t="s">
        <v>12</v>
      </c>
      <c r="I94" s="26" t="s">
        <v>97</v>
      </c>
      <c r="J94" s="26" t="s">
        <v>78</v>
      </c>
      <c r="K94" s="67">
        <v>15000</v>
      </c>
      <c r="L94" s="131">
        <f t="shared" si="18"/>
        <v>3900</v>
      </c>
      <c r="M94" s="157">
        <f t="shared" si="14"/>
        <v>0.14000000000000001</v>
      </c>
      <c r="N94" s="131">
        <f t="shared" si="19"/>
        <v>9000</v>
      </c>
      <c r="O94" s="132">
        <f t="shared" si="15"/>
        <v>0.48</v>
      </c>
      <c r="P94" s="73">
        <v>1800</v>
      </c>
      <c r="Q94" s="56">
        <f t="shared" si="20"/>
        <v>217</v>
      </c>
      <c r="R94" s="48">
        <f t="shared" si="16"/>
        <v>1583</v>
      </c>
      <c r="S94" s="52">
        <v>500</v>
      </c>
      <c r="T94" s="52">
        <v>280</v>
      </c>
      <c r="U94" s="52">
        <f t="shared" si="17"/>
        <v>5.6</v>
      </c>
      <c r="V94" s="52">
        <v>616</v>
      </c>
      <c r="W94" s="52">
        <v>187</v>
      </c>
      <c r="X94" s="52"/>
      <c r="Y94" s="43" t="s">
        <v>137</v>
      </c>
    </row>
    <row r="95" spans="1:28" x14ac:dyDescent="0.3">
      <c r="A95" s="300"/>
      <c r="B95" s="300"/>
      <c r="C95" s="296"/>
      <c r="D95" s="18" t="s">
        <v>427</v>
      </c>
      <c r="E95" s="76">
        <v>9810592000167</v>
      </c>
      <c r="F95" s="12">
        <v>50</v>
      </c>
      <c r="G95" s="8" t="s">
        <v>8</v>
      </c>
      <c r="H95" s="26" t="s">
        <v>12</v>
      </c>
      <c r="I95" s="26" t="s">
        <v>97</v>
      </c>
      <c r="J95" s="26" t="s">
        <v>78</v>
      </c>
      <c r="K95" s="67">
        <v>15000</v>
      </c>
      <c r="L95" s="131">
        <f t="shared" si="18"/>
        <v>3900</v>
      </c>
      <c r="M95" s="157">
        <f t="shared" si="14"/>
        <v>0.12666666666666668</v>
      </c>
      <c r="N95" s="131">
        <f t="shared" si="19"/>
        <v>9000</v>
      </c>
      <c r="O95" s="132">
        <f t="shared" si="15"/>
        <v>0.46666666666666667</v>
      </c>
      <c r="P95" s="73">
        <v>2000</v>
      </c>
      <c r="Q95" s="56">
        <f t="shared" si="20"/>
        <v>207.5</v>
      </c>
      <c r="R95" s="48">
        <f t="shared" si="16"/>
        <v>1792.5</v>
      </c>
      <c r="S95" s="52">
        <v>244</v>
      </c>
      <c r="T95" s="52">
        <v>806</v>
      </c>
      <c r="U95" s="52">
        <f t="shared" si="17"/>
        <v>16.12</v>
      </c>
      <c r="V95" s="52">
        <f>407+88+66</f>
        <v>561</v>
      </c>
      <c r="W95" s="53">
        <f>165*1.1</f>
        <v>181.50000000000003</v>
      </c>
      <c r="X95" s="52"/>
      <c r="Y95" s="43" t="s">
        <v>137</v>
      </c>
    </row>
    <row r="96" spans="1:28" x14ac:dyDescent="0.3">
      <c r="A96" s="300"/>
      <c r="B96" s="300"/>
      <c r="C96" s="296"/>
      <c r="D96" s="18" t="s">
        <v>428</v>
      </c>
      <c r="E96" s="76">
        <v>9810592000171</v>
      </c>
      <c r="F96" s="12">
        <v>30</v>
      </c>
      <c r="G96" s="8" t="s">
        <v>16</v>
      </c>
      <c r="H96" s="26" t="s">
        <v>12</v>
      </c>
      <c r="I96" s="26" t="s">
        <v>11</v>
      </c>
      <c r="J96" s="26" t="s">
        <v>78</v>
      </c>
      <c r="K96" s="67">
        <v>15000</v>
      </c>
      <c r="L96" s="131">
        <f t="shared" si="18"/>
        <v>3900</v>
      </c>
      <c r="M96" s="157">
        <f t="shared" si="14"/>
        <v>0.17333333333333334</v>
      </c>
      <c r="N96" s="131">
        <f t="shared" si="19"/>
        <v>9000</v>
      </c>
      <c r="O96" s="132">
        <f t="shared" si="15"/>
        <v>0.51333333333333331</v>
      </c>
      <c r="P96" s="73">
        <v>1300</v>
      </c>
      <c r="Q96" s="56">
        <f t="shared" si="20"/>
        <v>111</v>
      </c>
      <c r="R96" s="48">
        <f t="shared" si="16"/>
        <v>1189</v>
      </c>
      <c r="S96" s="52">
        <v>276</v>
      </c>
      <c r="T96" s="52">
        <v>484</v>
      </c>
      <c r="U96" s="52">
        <f t="shared" si="17"/>
        <v>16.133333333333333</v>
      </c>
      <c r="V96" s="52">
        <v>264</v>
      </c>
      <c r="W96" s="53">
        <f>150*1.1</f>
        <v>165</v>
      </c>
      <c r="X96" s="52"/>
      <c r="Y96" s="43" t="s">
        <v>137</v>
      </c>
    </row>
    <row r="97" spans="1:46" x14ac:dyDescent="0.3">
      <c r="A97" s="300"/>
      <c r="B97" s="312"/>
      <c r="C97" s="296"/>
      <c r="D97" s="18" t="s">
        <v>429</v>
      </c>
      <c r="E97" s="76">
        <v>9810592000165</v>
      </c>
      <c r="F97" s="16">
        <v>100</v>
      </c>
      <c r="G97" s="8" t="s">
        <v>16</v>
      </c>
      <c r="H97" s="26" t="s">
        <v>12</v>
      </c>
      <c r="I97" s="26" t="s">
        <v>11</v>
      </c>
      <c r="J97" s="26"/>
      <c r="K97" s="67">
        <v>8000</v>
      </c>
      <c r="L97" s="131">
        <f t="shared" si="18"/>
        <v>2080</v>
      </c>
      <c r="M97" s="157">
        <f t="shared" si="14"/>
        <v>8.5000000000000006E-2</v>
      </c>
      <c r="N97" s="131">
        <f t="shared" si="19"/>
        <v>4800</v>
      </c>
      <c r="O97" s="132">
        <f t="shared" si="15"/>
        <v>0.42499999999999999</v>
      </c>
      <c r="P97" s="73">
        <v>1400</v>
      </c>
      <c r="Q97" s="56">
        <f t="shared" si="20"/>
        <v>175</v>
      </c>
      <c r="R97" s="48">
        <f t="shared" si="16"/>
        <v>1225</v>
      </c>
      <c r="S97" s="52">
        <v>163</v>
      </c>
      <c r="T97" s="52">
        <v>707</v>
      </c>
      <c r="U97" s="52">
        <f t="shared" si="17"/>
        <v>7.07</v>
      </c>
      <c r="V97" s="52">
        <v>341</v>
      </c>
      <c r="W97" s="52">
        <v>0</v>
      </c>
      <c r="X97" s="53">
        <v>14</v>
      </c>
      <c r="Y97" s="43" t="s">
        <v>140</v>
      </c>
      <c r="AC97" s="172">
        <f>SUM(AD97:AR97)</f>
        <v>1225.3</v>
      </c>
      <c r="AD97" s="195">
        <v>707.3</v>
      </c>
      <c r="AE97" s="168">
        <v>163</v>
      </c>
      <c r="AF97" s="172">
        <v>341</v>
      </c>
      <c r="AG97" s="168"/>
      <c r="AH97" s="168"/>
      <c r="AI97" s="168"/>
      <c r="AJ97" s="168"/>
      <c r="AK97" s="170"/>
      <c r="AL97" s="170"/>
      <c r="AM97" s="168"/>
      <c r="AN97" s="170"/>
      <c r="AO97" s="168"/>
      <c r="AP97" s="168"/>
      <c r="AQ97" s="168">
        <v>14</v>
      </c>
      <c r="AR97" s="171">
        <v>0</v>
      </c>
      <c r="AS97" s="194" t="s">
        <v>529</v>
      </c>
      <c r="AT97" s="194">
        <v>-14</v>
      </c>
    </row>
    <row r="98" spans="1:46" x14ac:dyDescent="0.3">
      <c r="A98" s="300"/>
      <c r="B98" s="291" t="s">
        <v>44</v>
      </c>
      <c r="C98" s="296" t="s">
        <v>45</v>
      </c>
      <c r="D98" s="18" t="s">
        <v>430</v>
      </c>
      <c r="E98" s="76">
        <v>9810592000128</v>
      </c>
      <c r="F98" s="12">
        <v>155</v>
      </c>
      <c r="G98" s="8" t="s">
        <v>16</v>
      </c>
      <c r="H98" s="26" t="s">
        <v>12</v>
      </c>
      <c r="I98" s="26" t="s">
        <v>33</v>
      </c>
      <c r="J98" s="26" t="s">
        <v>77</v>
      </c>
      <c r="K98" s="67">
        <v>26000</v>
      </c>
      <c r="L98" s="131">
        <f t="shared" si="18"/>
        <v>6760</v>
      </c>
      <c r="M98" s="157">
        <f t="shared" si="14"/>
        <v>0.14846153846153845</v>
      </c>
      <c r="N98" s="131">
        <f t="shared" si="19"/>
        <v>15600</v>
      </c>
      <c r="O98" s="132">
        <f t="shared" si="15"/>
        <v>0.48846153846153845</v>
      </c>
      <c r="P98" s="73">
        <v>2900</v>
      </c>
      <c r="Q98" s="56">
        <f t="shared" si="20"/>
        <v>269</v>
      </c>
      <c r="R98" s="48">
        <f t="shared" si="16"/>
        <v>2631</v>
      </c>
      <c r="S98" s="52">
        <v>246</v>
      </c>
      <c r="T98" s="52">
        <v>1144</v>
      </c>
      <c r="U98" s="52">
        <f t="shared" si="17"/>
        <v>7.3806451612903228</v>
      </c>
      <c r="V98" s="52">
        <v>1023</v>
      </c>
      <c r="W98" s="52">
        <v>218</v>
      </c>
      <c r="X98" s="52"/>
      <c r="Y98" s="43" t="s">
        <v>137</v>
      </c>
      <c r="AA98" s="40" t="s">
        <v>205</v>
      </c>
      <c r="AB98" s="40">
        <v>7</v>
      </c>
    </row>
    <row r="99" spans="1:46" x14ac:dyDescent="0.3">
      <c r="A99" s="300"/>
      <c r="B99" s="291"/>
      <c r="C99" s="296"/>
      <c r="D99" s="18" t="s">
        <v>431</v>
      </c>
      <c r="E99" s="76">
        <v>9810592000127</v>
      </c>
      <c r="F99" s="16">
        <v>150</v>
      </c>
      <c r="G99" s="8" t="s">
        <v>16</v>
      </c>
      <c r="H99" s="26" t="s">
        <v>27</v>
      </c>
      <c r="I99" s="26" t="s">
        <v>33</v>
      </c>
      <c r="J99" s="26" t="s">
        <v>77</v>
      </c>
      <c r="K99" s="67">
        <v>27000</v>
      </c>
      <c r="L99" s="131">
        <f t="shared" si="18"/>
        <v>7020</v>
      </c>
      <c r="M99" s="157">
        <f t="shared" si="14"/>
        <v>0.13777777777777778</v>
      </c>
      <c r="N99" s="131">
        <f t="shared" si="19"/>
        <v>16200</v>
      </c>
      <c r="O99" s="132">
        <f t="shared" si="15"/>
        <v>0.4777777777777778</v>
      </c>
      <c r="P99" s="73">
        <v>3300</v>
      </c>
      <c r="Q99" s="56">
        <f t="shared" si="20"/>
        <v>167</v>
      </c>
      <c r="R99" s="48">
        <f t="shared" si="16"/>
        <v>3133</v>
      </c>
      <c r="S99" s="52">
        <v>930</v>
      </c>
      <c r="T99" s="52">
        <v>621</v>
      </c>
      <c r="U99" s="52">
        <f t="shared" si="17"/>
        <v>4.1399999999999997</v>
      </c>
      <c r="V99" s="52">
        <v>1232</v>
      </c>
      <c r="W99" s="52">
        <f>297+53</f>
        <v>350</v>
      </c>
      <c r="X99" s="52"/>
      <c r="Y99" s="43" t="s">
        <v>141</v>
      </c>
    </row>
    <row r="100" spans="1:46" x14ac:dyDescent="0.3">
      <c r="A100" s="300"/>
      <c r="B100" s="291"/>
      <c r="C100" s="296"/>
      <c r="D100" s="18" t="s">
        <v>432</v>
      </c>
      <c r="E100" s="76">
        <v>9810592000131</v>
      </c>
      <c r="F100" s="12">
        <v>30</v>
      </c>
      <c r="G100" s="8" t="s">
        <v>8</v>
      </c>
      <c r="H100" s="26" t="s">
        <v>27</v>
      </c>
      <c r="I100" s="26" t="s">
        <v>11</v>
      </c>
      <c r="J100" s="26" t="s">
        <v>77</v>
      </c>
      <c r="K100" s="67">
        <v>13000</v>
      </c>
      <c r="L100" s="131">
        <f t="shared" si="18"/>
        <v>3380</v>
      </c>
      <c r="M100" s="157">
        <f t="shared" si="14"/>
        <v>0.14461538461538462</v>
      </c>
      <c r="N100" s="131">
        <f t="shared" si="19"/>
        <v>7800</v>
      </c>
      <c r="O100" s="132">
        <f t="shared" si="15"/>
        <v>0.48461538461538461</v>
      </c>
      <c r="P100" s="73">
        <v>1500</v>
      </c>
      <c r="Q100" s="56">
        <f t="shared" si="20"/>
        <v>191</v>
      </c>
      <c r="R100" s="48">
        <f t="shared" si="16"/>
        <v>1309</v>
      </c>
      <c r="S100" s="52">
        <v>445.00000000000011</v>
      </c>
      <c r="T100" s="52">
        <v>270</v>
      </c>
      <c r="U100" s="52">
        <f t="shared" si="17"/>
        <v>9</v>
      </c>
      <c r="V100" s="52">
        <v>429</v>
      </c>
      <c r="W100" s="52">
        <v>165</v>
      </c>
      <c r="X100" s="52"/>
      <c r="Y100" s="41" t="s">
        <v>142</v>
      </c>
    </row>
    <row r="101" spans="1:46" x14ac:dyDescent="0.3">
      <c r="A101" s="300"/>
      <c r="B101" s="291"/>
      <c r="C101" s="296"/>
      <c r="D101" s="18" t="s">
        <v>433</v>
      </c>
      <c r="E101" s="76">
        <v>9810592000130</v>
      </c>
      <c r="F101" s="12">
        <v>30</v>
      </c>
      <c r="G101" s="8" t="s">
        <v>8</v>
      </c>
      <c r="H101" s="26" t="s">
        <v>27</v>
      </c>
      <c r="I101" s="26" t="s">
        <v>46</v>
      </c>
      <c r="J101" s="26" t="s">
        <v>77</v>
      </c>
      <c r="K101" s="67">
        <v>15000</v>
      </c>
      <c r="L101" s="131">
        <f t="shared" si="18"/>
        <v>3900</v>
      </c>
      <c r="M101" s="157">
        <f t="shared" si="14"/>
        <v>0.15333333333333332</v>
      </c>
      <c r="N101" s="131">
        <f t="shared" si="19"/>
        <v>9000</v>
      </c>
      <c r="O101" s="132">
        <f t="shared" si="15"/>
        <v>0.49333333333333335</v>
      </c>
      <c r="P101" s="73">
        <v>1600</v>
      </c>
      <c r="Q101" s="56">
        <f t="shared" si="20"/>
        <v>131</v>
      </c>
      <c r="R101" s="48">
        <f t="shared" si="16"/>
        <v>1469</v>
      </c>
      <c r="S101" s="52">
        <v>500</v>
      </c>
      <c r="T101" s="52">
        <v>270.00000000000011</v>
      </c>
      <c r="U101" s="52">
        <f t="shared" si="17"/>
        <v>9.0000000000000036</v>
      </c>
      <c r="V101" s="52">
        <v>429</v>
      </c>
      <c r="W101" s="52">
        <v>270</v>
      </c>
      <c r="X101" s="52"/>
      <c r="Y101" s="41" t="s">
        <v>142</v>
      </c>
    </row>
    <row r="102" spans="1:46" x14ac:dyDescent="0.3">
      <c r="A102" s="300"/>
      <c r="B102" s="291"/>
      <c r="C102" s="296"/>
      <c r="D102" s="18" t="s">
        <v>434</v>
      </c>
      <c r="E102" s="76">
        <v>9810592000126</v>
      </c>
      <c r="F102" s="12">
        <v>50</v>
      </c>
      <c r="G102" s="8" t="s">
        <v>8</v>
      </c>
      <c r="H102" s="26" t="s">
        <v>27</v>
      </c>
      <c r="I102" s="26" t="s">
        <v>33</v>
      </c>
      <c r="J102" s="26" t="s">
        <v>77</v>
      </c>
      <c r="K102" s="67">
        <v>24000</v>
      </c>
      <c r="L102" s="131">
        <f t="shared" si="18"/>
        <v>6240</v>
      </c>
      <c r="M102" s="157">
        <f t="shared" si="14"/>
        <v>0.15583333333333332</v>
      </c>
      <c r="N102" s="131">
        <f t="shared" si="19"/>
        <v>14400</v>
      </c>
      <c r="O102" s="132">
        <f t="shared" si="15"/>
        <v>0.49583333333333335</v>
      </c>
      <c r="P102" s="73">
        <v>2500</v>
      </c>
      <c r="Q102" s="56">
        <f t="shared" si="20"/>
        <v>261</v>
      </c>
      <c r="R102" s="48">
        <f t="shared" si="16"/>
        <v>2239</v>
      </c>
      <c r="S102" s="52">
        <v>700</v>
      </c>
      <c r="T102" s="52">
        <v>400</v>
      </c>
      <c r="U102" s="52">
        <f t="shared" si="17"/>
        <v>8</v>
      </c>
      <c r="V102" s="52">
        <v>985</v>
      </c>
      <c r="W102" s="52">
        <v>154</v>
      </c>
      <c r="X102" s="52"/>
      <c r="Y102" s="41" t="s">
        <v>142</v>
      </c>
    </row>
    <row r="103" spans="1:46" x14ac:dyDescent="0.3">
      <c r="A103" s="300"/>
      <c r="B103" s="291"/>
      <c r="C103" s="296"/>
      <c r="D103" s="18" t="s">
        <v>435</v>
      </c>
      <c r="E103" s="76">
        <v>9810592000132</v>
      </c>
      <c r="F103" s="16">
        <v>100</v>
      </c>
      <c r="G103" s="8" t="s">
        <v>16</v>
      </c>
      <c r="H103" s="26" t="s">
        <v>27</v>
      </c>
      <c r="I103" s="26" t="s">
        <v>28</v>
      </c>
      <c r="J103" s="26" t="s">
        <v>77</v>
      </c>
      <c r="K103" s="67">
        <v>15000</v>
      </c>
      <c r="L103" s="131">
        <f t="shared" si="18"/>
        <v>3900</v>
      </c>
      <c r="M103" s="157">
        <f t="shared" si="14"/>
        <v>0.13333333333333333</v>
      </c>
      <c r="N103" s="131">
        <f t="shared" si="19"/>
        <v>9000</v>
      </c>
      <c r="O103" s="132">
        <f t="shared" si="15"/>
        <v>0.47333333333333333</v>
      </c>
      <c r="P103" s="73">
        <v>1900</v>
      </c>
      <c r="Q103" s="56">
        <f t="shared" si="20"/>
        <v>151</v>
      </c>
      <c r="R103" s="48">
        <f t="shared" si="16"/>
        <v>1749</v>
      </c>
      <c r="S103" s="52">
        <v>400</v>
      </c>
      <c r="T103" s="52">
        <v>194</v>
      </c>
      <c r="U103" s="52">
        <f t="shared" si="17"/>
        <v>1.94</v>
      </c>
      <c r="V103" s="52">
        <v>957</v>
      </c>
      <c r="W103" s="52">
        <v>198</v>
      </c>
      <c r="X103" s="52"/>
      <c r="Y103" s="43" t="s">
        <v>139</v>
      </c>
    </row>
    <row r="104" spans="1:46" x14ac:dyDescent="0.3">
      <c r="A104" s="300"/>
      <c r="B104" s="291"/>
      <c r="C104" s="296"/>
      <c r="D104" s="81" t="s">
        <v>436</v>
      </c>
      <c r="E104" s="76">
        <v>9810592000391</v>
      </c>
      <c r="F104" s="16">
        <v>100</v>
      </c>
      <c r="G104" s="8" t="s">
        <v>8</v>
      </c>
      <c r="H104" s="26" t="s">
        <v>38</v>
      </c>
      <c r="I104" s="26" t="s">
        <v>52</v>
      </c>
      <c r="J104" s="26" t="s">
        <v>77</v>
      </c>
      <c r="K104" s="67">
        <v>26000</v>
      </c>
      <c r="L104" s="131">
        <f t="shared" si="18"/>
        <v>6760</v>
      </c>
      <c r="M104" s="157">
        <f t="shared" si="14"/>
        <v>0.13692307692307693</v>
      </c>
      <c r="N104" s="131">
        <f t="shared" si="19"/>
        <v>15600</v>
      </c>
      <c r="O104" s="132">
        <f t="shared" si="15"/>
        <v>0.47692307692307695</v>
      </c>
      <c r="P104" s="73">
        <v>3200</v>
      </c>
      <c r="Q104" s="56">
        <f t="shared" si="20"/>
        <v>329</v>
      </c>
      <c r="R104" s="48">
        <f t="shared" si="16"/>
        <v>2871</v>
      </c>
      <c r="S104" s="52">
        <v>690</v>
      </c>
      <c r="T104" s="52">
        <v>718</v>
      </c>
      <c r="U104" s="52">
        <f t="shared" si="17"/>
        <v>7.18</v>
      </c>
      <c r="V104" s="52">
        <f>980*1.1</f>
        <v>1078</v>
      </c>
      <c r="W104" s="52">
        <v>341</v>
      </c>
      <c r="X104" s="53">
        <v>44</v>
      </c>
      <c r="Y104" s="41" t="s">
        <v>115</v>
      </c>
    </row>
    <row r="105" spans="1:46" x14ac:dyDescent="0.3">
      <c r="A105" s="300"/>
      <c r="B105" s="299" t="s">
        <v>39</v>
      </c>
      <c r="C105" s="295" t="s">
        <v>40</v>
      </c>
      <c r="D105" s="10" t="s">
        <v>437</v>
      </c>
      <c r="E105" s="76">
        <v>9810592000309</v>
      </c>
      <c r="F105" s="12">
        <v>150</v>
      </c>
      <c r="G105" s="8" t="s">
        <v>16</v>
      </c>
      <c r="H105" s="26" t="s">
        <v>27</v>
      </c>
      <c r="I105" s="26" t="s">
        <v>33</v>
      </c>
      <c r="J105" s="26" t="s">
        <v>77</v>
      </c>
      <c r="K105" s="67">
        <v>26000</v>
      </c>
      <c r="L105" s="131">
        <f t="shared" si="18"/>
        <v>6760</v>
      </c>
      <c r="M105" s="157">
        <f t="shared" si="14"/>
        <v>0.13692307692307693</v>
      </c>
      <c r="N105" s="131">
        <f t="shared" si="19"/>
        <v>15600</v>
      </c>
      <c r="O105" s="132">
        <f t="shared" si="15"/>
        <v>0.47692307692307695</v>
      </c>
      <c r="P105" s="73">
        <v>3200</v>
      </c>
      <c r="Q105" s="56">
        <f t="shared" si="20"/>
        <v>318</v>
      </c>
      <c r="R105" s="48">
        <f t="shared" si="16"/>
        <v>2882</v>
      </c>
      <c r="S105" s="52">
        <v>800</v>
      </c>
      <c r="T105" s="52">
        <v>531</v>
      </c>
      <c r="U105" s="52">
        <f t="shared" si="17"/>
        <v>3.54</v>
      </c>
      <c r="V105" s="52">
        <v>1298</v>
      </c>
      <c r="W105" s="52">
        <v>253</v>
      </c>
      <c r="X105" s="52"/>
      <c r="Y105" s="41" t="s">
        <v>142</v>
      </c>
      <c r="AA105" s="40" t="s">
        <v>39</v>
      </c>
      <c r="AB105" s="40">
        <v>3</v>
      </c>
    </row>
    <row r="106" spans="1:46" x14ac:dyDescent="0.3">
      <c r="A106" s="300"/>
      <c r="B106" s="300"/>
      <c r="C106" s="295"/>
      <c r="D106" s="7" t="s">
        <v>438</v>
      </c>
      <c r="E106" s="76">
        <v>9810592000311</v>
      </c>
      <c r="F106" s="12">
        <v>50</v>
      </c>
      <c r="G106" s="8" t="s">
        <v>8</v>
      </c>
      <c r="H106" s="26" t="s">
        <v>27</v>
      </c>
      <c r="I106" s="26" t="s">
        <v>33</v>
      </c>
      <c r="J106" s="26" t="s">
        <v>77</v>
      </c>
      <c r="K106" s="67">
        <v>24000</v>
      </c>
      <c r="L106" s="131">
        <f t="shared" si="18"/>
        <v>6240</v>
      </c>
      <c r="M106" s="157">
        <f t="shared" si="14"/>
        <v>0.13916666666666666</v>
      </c>
      <c r="N106" s="131">
        <f t="shared" si="19"/>
        <v>14400</v>
      </c>
      <c r="O106" s="132">
        <f t="shared" si="15"/>
        <v>0.47916666666666669</v>
      </c>
      <c r="P106" s="73">
        <v>2900</v>
      </c>
      <c r="Q106" s="56">
        <f t="shared" si="20"/>
        <v>243</v>
      </c>
      <c r="R106" s="48">
        <f t="shared" si="16"/>
        <v>2657</v>
      </c>
      <c r="S106" s="52">
        <v>800</v>
      </c>
      <c r="T106" s="52">
        <v>575</v>
      </c>
      <c r="U106" s="52">
        <f t="shared" si="17"/>
        <v>11.5</v>
      </c>
      <c r="V106" s="52">
        <v>1139</v>
      </c>
      <c r="W106" s="52">
        <v>143</v>
      </c>
      <c r="X106" s="52"/>
      <c r="Y106" s="41" t="s">
        <v>142</v>
      </c>
    </row>
    <row r="107" spans="1:46" x14ac:dyDescent="0.3">
      <c r="A107" s="300"/>
      <c r="B107" s="312"/>
      <c r="C107" s="295"/>
      <c r="D107" s="7" t="s">
        <v>439</v>
      </c>
      <c r="E107" s="76">
        <v>9810592000312</v>
      </c>
      <c r="F107" s="16">
        <v>30</v>
      </c>
      <c r="G107" s="8" t="s">
        <v>16</v>
      </c>
      <c r="H107" s="26" t="s">
        <v>27</v>
      </c>
      <c r="I107" s="26" t="s">
        <v>33</v>
      </c>
      <c r="J107" s="26" t="s">
        <v>77</v>
      </c>
      <c r="K107" s="67">
        <v>25000</v>
      </c>
      <c r="L107" s="131">
        <f t="shared" si="18"/>
        <v>6500</v>
      </c>
      <c r="M107" s="157">
        <f t="shared" si="14"/>
        <v>0.156</v>
      </c>
      <c r="N107" s="131">
        <f t="shared" si="19"/>
        <v>15000</v>
      </c>
      <c r="O107" s="132">
        <f t="shared" si="15"/>
        <v>0.496</v>
      </c>
      <c r="P107" s="73">
        <v>2600</v>
      </c>
      <c r="Q107" s="56">
        <f t="shared" si="20"/>
        <v>169</v>
      </c>
      <c r="R107" s="48">
        <f t="shared" si="16"/>
        <v>2431</v>
      </c>
      <c r="S107" s="52">
        <v>500.00000000000011</v>
      </c>
      <c r="T107" s="52">
        <v>380</v>
      </c>
      <c r="U107" s="52">
        <f t="shared" si="17"/>
        <v>12.666666666666666</v>
      </c>
      <c r="V107" s="52">
        <v>1342</v>
      </c>
      <c r="W107" s="52">
        <v>209</v>
      </c>
      <c r="X107" s="52"/>
      <c r="Y107" s="43" t="s">
        <v>143</v>
      </c>
    </row>
    <row r="108" spans="1:46" x14ac:dyDescent="0.3">
      <c r="A108" s="300"/>
      <c r="B108" s="301" t="s">
        <v>48</v>
      </c>
      <c r="C108" s="295" t="s">
        <v>49</v>
      </c>
      <c r="D108" s="7" t="s">
        <v>440</v>
      </c>
      <c r="E108" s="76">
        <v>9810592000006</v>
      </c>
      <c r="F108" s="12">
        <v>500</v>
      </c>
      <c r="G108" s="8" t="s">
        <v>16</v>
      </c>
      <c r="H108" s="26" t="s">
        <v>12</v>
      </c>
      <c r="I108" s="26" t="s">
        <v>30</v>
      </c>
      <c r="J108" s="26"/>
      <c r="K108" s="67">
        <v>15000</v>
      </c>
      <c r="L108" s="131">
        <f t="shared" si="18"/>
        <v>3900</v>
      </c>
      <c r="M108" s="157">
        <f t="shared" si="14"/>
        <v>7.3333333333333334E-2</v>
      </c>
      <c r="N108" s="131">
        <f t="shared" si="19"/>
        <v>9000</v>
      </c>
      <c r="O108" s="132">
        <f t="shared" si="15"/>
        <v>0.41333333333333333</v>
      </c>
      <c r="P108" s="73">
        <v>2800</v>
      </c>
      <c r="Q108" s="56">
        <f t="shared" si="20"/>
        <v>282</v>
      </c>
      <c r="R108" s="48">
        <f t="shared" si="16"/>
        <v>2518</v>
      </c>
      <c r="S108" s="52">
        <v>286</v>
      </c>
      <c r="T108" s="52">
        <v>1564</v>
      </c>
      <c r="U108" s="52">
        <f t="shared" si="17"/>
        <v>3.1280000000000001</v>
      </c>
      <c r="V108" s="52">
        <f>297+44+165</f>
        <v>506</v>
      </c>
      <c r="W108" s="52">
        <v>0</v>
      </c>
      <c r="X108" s="53">
        <f>143+19</f>
        <v>162</v>
      </c>
      <c r="Y108" s="43" t="s">
        <v>144</v>
      </c>
      <c r="AA108" s="40" t="s">
        <v>48</v>
      </c>
      <c r="AB108" s="40">
        <v>11</v>
      </c>
      <c r="AC108" s="168">
        <f>SUM(AD108:AR108)</f>
        <v>2518</v>
      </c>
      <c r="AD108" s="169">
        <v>1564</v>
      </c>
      <c r="AE108" s="168">
        <v>286</v>
      </c>
      <c r="AF108" s="168">
        <v>297</v>
      </c>
      <c r="AG108" s="168">
        <v>165</v>
      </c>
      <c r="AH108" s="168">
        <v>44</v>
      </c>
      <c r="AI108" s="168"/>
      <c r="AJ108" s="168"/>
      <c r="AK108" s="170"/>
      <c r="AL108" s="170">
        <v>143</v>
      </c>
      <c r="AM108" s="168"/>
      <c r="AN108" s="170"/>
      <c r="AO108" s="168"/>
      <c r="AP108" s="168"/>
      <c r="AQ108" s="168">
        <v>19</v>
      </c>
      <c r="AR108" s="171"/>
      <c r="AS108" s="194"/>
      <c r="AT108" s="194"/>
    </row>
    <row r="109" spans="1:46" x14ac:dyDescent="0.3">
      <c r="A109" s="300"/>
      <c r="B109" s="302"/>
      <c r="C109" s="295"/>
      <c r="D109" s="10" t="s">
        <v>441</v>
      </c>
      <c r="E109" s="76">
        <v>9810592000004</v>
      </c>
      <c r="F109" s="12">
        <v>70</v>
      </c>
      <c r="G109" s="8" t="s">
        <v>8</v>
      </c>
      <c r="H109" s="26" t="s">
        <v>10</v>
      </c>
      <c r="I109" s="26" t="s">
        <v>11</v>
      </c>
      <c r="J109" s="26"/>
      <c r="K109" s="67">
        <v>10000</v>
      </c>
      <c r="L109" s="131">
        <f t="shared" si="18"/>
        <v>2600</v>
      </c>
      <c r="M109" s="157">
        <f t="shared" si="14"/>
        <v>0.13</v>
      </c>
      <c r="N109" s="131">
        <f t="shared" si="19"/>
        <v>6000</v>
      </c>
      <c r="O109" s="132">
        <f t="shared" si="15"/>
        <v>0.47</v>
      </c>
      <c r="P109" s="73">
        <v>1300</v>
      </c>
      <c r="Q109" s="56">
        <f t="shared" si="20"/>
        <v>297</v>
      </c>
      <c r="R109" s="48">
        <f t="shared" si="16"/>
        <v>1003</v>
      </c>
      <c r="S109" s="52">
        <v>196</v>
      </c>
      <c r="T109" s="52">
        <v>508</v>
      </c>
      <c r="U109" s="52">
        <f t="shared" si="17"/>
        <v>7.2571428571428571</v>
      </c>
      <c r="V109" s="52">
        <v>286</v>
      </c>
      <c r="W109" s="52">
        <v>0</v>
      </c>
      <c r="X109" s="53">
        <v>13</v>
      </c>
      <c r="Y109" s="41" t="s">
        <v>142</v>
      </c>
    </row>
    <row r="110" spans="1:46" x14ac:dyDescent="0.3">
      <c r="A110" s="300"/>
      <c r="B110" s="302"/>
      <c r="C110" s="295"/>
      <c r="D110" s="10" t="s">
        <v>442</v>
      </c>
      <c r="E110" s="76">
        <v>9810592000355</v>
      </c>
      <c r="F110" s="12">
        <v>200</v>
      </c>
      <c r="G110" s="8" t="s">
        <v>16</v>
      </c>
      <c r="H110" s="26" t="s">
        <v>13</v>
      </c>
      <c r="I110" s="26" t="s">
        <v>50</v>
      </c>
      <c r="J110" s="26"/>
      <c r="K110" s="67">
        <v>10000</v>
      </c>
      <c r="L110" s="131">
        <f t="shared" si="18"/>
        <v>2600</v>
      </c>
      <c r="M110" s="157">
        <f t="shared" si="14"/>
        <v>7.0000000000000007E-2</v>
      </c>
      <c r="N110" s="131">
        <f t="shared" si="19"/>
        <v>6000</v>
      </c>
      <c r="O110" s="132">
        <f t="shared" si="15"/>
        <v>0.41</v>
      </c>
      <c r="P110" s="73">
        <v>1900</v>
      </c>
      <c r="Q110" s="56">
        <f t="shared" si="20"/>
        <v>233.5</v>
      </c>
      <c r="R110" s="48">
        <f t="shared" si="16"/>
        <v>1666.5</v>
      </c>
      <c r="S110" s="52">
        <f>480*1.1</f>
        <v>528</v>
      </c>
      <c r="T110" s="52">
        <f>560*1.1</f>
        <v>616</v>
      </c>
      <c r="U110" s="52">
        <f t="shared" si="17"/>
        <v>3.08</v>
      </c>
      <c r="V110" s="52">
        <v>363</v>
      </c>
      <c r="W110" s="52">
        <v>0</v>
      </c>
      <c r="X110" s="53">
        <v>159.5</v>
      </c>
      <c r="Y110" s="41" t="s">
        <v>165</v>
      </c>
      <c r="AC110" s="168">
        <f>SUM(AD110:AR110)</f>
        <v>1666.5</v>
      </c>
      <c r="AD110" s="168">
        <v>616</v>
      </c>
      <c r="AE110" s="168">
        <v>528</v>
      </c>
      <c r="AF110" s="168">
        <v>363</v>
      </c>
      <c r="AG110" s="168">
        <v>0</v>
      </c>
      <c r="AH110" s="168"/>
      <c r="AI110" s="168"/>
      <c r="AJ110" s="168"/>
      <c r="AK110" s="170"/>
      <c r="AL110" s="170">
        <f>77+77</f>
        <v>154</v>
      </c>
      <c r="AM110" s="168"/>
      <c r="AN110" s="170">
        <v>5.5</v>
      </c>
      <c r="AO110" s="168"/>
      <c r="AP110" s="168"/>
      <c r="AQ110" s="168">
        <v>0</v>
      </c>
      <c r="AR110" s="171"/>
      <c r="AS110" s="194"/>
      <c r="AT110" s="194"/>
    </row>
    <row r="111" spans="1:46" x14ac:dyDescent="0.3">
      <c r="A111" s="300"/>
      <c r="B111" s="302"/>
      <c r="C111" s="303" t="s">
        <v>51</v>
      </c>
      <c r="D111" s="10" t="s">
        <v>443</v>
      </c>
      <c r="E111" s="76">
        <v>9810592000246</v>
      </c>
      <c r="F111" s="16">
        <v>100</v>
      </c>
      <c r="G111" s="8" t="s">
        <v>8</v>
      </c>
      <c r="H111" s="26" t="s">
        <v>27</v>
      </c>
      <c r="I111" s="26" t="s">
        <v>52</v>
      </c>
      <c r="J111" s="26" t="s">
        <v>76</v>
      </c>
      <c r="K111" s="67">
        <v>18000</v>
      </c>
      <c r="L111" s="131">
        <f t="shared" si="18"/>
        <v>4680</v>
      </c>
      <c r="M111" s="157">
        <f t="shared" si="14"/>
        <v>0.13777777777777778</v>
      </c>
      <c r="N111" s="131">
        <f t="shared" si="19"/>
        <v>10800</v>
      </c>
      <c r="O111" s="132">
        <f t="shared" si="15"/>
        <v>0.4777777777777778</v>
      </c>
      <c r="P111" s="73">
        <v>2200</v>
      </c>
      <c r="Q111" s="56">
        <f t="shared" si="20"/>
        <v>192</v>
      </c>
      <c r="R111" s="48">
        <f t="shared" si="16"/>
        <v>2008</v>
      </c>
      <c r="S111" s="52">
        <v>640</v>
      </c>
      <c r="T111" s="52">
        <v>427</v>
      </c>
      <c r="U111" s="52">
        <f t="shared" si="17"/>
        <v>4.2699999999999996</v>
      </c>
      <c r="V111" s="52">
        <v>638</v>
      </c>
      <c r="W111" s="52">
        <v>160</v>
      </c>
      <c r="X111" s="53">
        <v>143</v>
      </c>
      <c r="Y111" s="43" t="s">
        <v>145</v>
      </c>
    </row>
    <row r="112" spans="1:46" x14ac:dyDescent="0.3">
      <c r="A112" s="300"/>
      <c r="B112" s="302"/>
      <c r="C112" s="303"/>
      <c r="D112" s="10" t="s">
        <v>444</v>
      </c>
      <c r="E112" s="76">
        <v>9810592000245</v>
      </c>
      <c r="F112" s="16">
        <v>550</v>
      </c>
      <c r="G112" s="8" t="s">
        <v>16</v>
      </c>
      <c r="H112" s="26" t="s">
        <v>27</v>
      </c>
      <c r="I112" s="26" t="s">
        <v>28</v>
      </c>
      <c r="J112" s="26"/>
      <c r="K112" s="67">
        <v>15000</v>
      </c>
      <c r="L112" s="131">
        <f t="shared" si="18"/>
        <v>3900</v>
      </c>
      <c r="M112" s="157">
        <f t="shared" si="14"/>
        <v>0.08</v>
      </c>
      <c r="N112" s="131">
        <f t="shared" si="19"/>
        <v>9000</v>
      </c>
      <c r="O112" s="132">
        <f t="shared" si="15"/>
        <v>0.42</v>
      </c>
      <c r="P112" s="73">
        <v>2700</v>
      </c>
      <c r="Q112" s="56">
        <f t="shared" si="20"/>
        <v>148</v>
      </c>
      <c r="R112" s="48">
        <f t="shared" si="16"/>
        <v>2552</v>
      </c>
      <c r="S112" s="52">
        <v>980</v>
      </c>
      <c r="T112" s="52">
        <v>615</v>
      </c>
      <c r="U112" s="52">
        <f t="shared" si="17"/>
        <v>1.1181818181818182</v>
      </c>
      <c r="V112" s="52">
        <f>396+418</f>
        <v>814</v>
      </c>
      <c r="W112" s="52">
        <v>0</v>
      </c>
      <c r="X112" s="53">
        <v>143</v>
      </c>
      <c r="Y112" s="43" t="s">
        <v>146</v>
      </c>
      <c r="AC112" s="172">
        <f t="shared" ref="AC112:AC124" si="22">SUM(AD112:AR112)</f>
        <v>2607</v>
      </c>
      <c r="AD112" s="169">
        <v>1155</v>
      </c>
      <c r="AE112" s="168">
        <v>495</v>
      </c>
      <c r="AF112" s="172">
        <v>814</v>
      </c>
      <c r="AG112" s="168"/>
      <c r="AH112" s="168"/>
      <c r="AI112" s="168"/>
      <c r="AJ112" s="168"/>
      <c r="AK112" s="170"/>
      <c r="AL112" s="170">
        <v>143</v>
      </c>
      <c r="AM112" s="168"/>
      <c r="AN112" s="170"/>
      <c r="AO112" s="168"/>
      <c r="AP112" s="168"/>
      <c r="AQ112" s="168">
        <v>0</v>
      </c>
      <c r="AR112" s="171"/>
      <c r="AS112" s="194"/>
      <c r="AT112" s="194"/>
    </row>
    <row r="113" spans="1:46" x14ac:dyDescent="0.3">
      <c r="A113" s="300"/>
      <c r="B113" s="302"/>
      <c r="C113" s="303"/>
      <c r="D113" s="23" t="s">
        <v>445</v>
      </c>
      <c r="E113" s="151">
        <v>9810592000244</v>
      </c>
      <c r="F113" s="27">
        <v>5</v>
      </c>
      <c r="G113" s="16" t="s">
        <v>180</v>
      </c>
      <c r="H113" s="28"/>
      <c r="I113" s="28"/>
      <c r="J113" s="28"/>
      <c r="K113" s="67">
        <v>7000</v>
      </c>
      <c r="L113" s="131">
        <f t="shared" si="18"/>
        <v>1820</v>
      </c>
      <c r="M113" s="157">
        <f t="shared" si="14"/>
        <v>1.7142857142857144E-2</v>
      </c>
      <c r="N113" s="131">
        <f t="shared" si="19"/>
        <v>4200</v>
      </c>
      <c r="O113" s="132">
        <f t="shared" si="15"/>
        <v>0.35714285714285715</v>
      </c>
      <c r="P113" s="73">
        <v>1700</v>
      </c>
      <c r="Q113" s="56">
        <f t="shared" si="20"/>
        <v>160</v>
      </c>
      <c r="R113" s="49">
        <f t="shared" si="16"/>
        <v>1540</v>
      </c>
      <c r="S113" s="55">
        <v>385</v>
      </c>
      <c r="T113" s="56">
        <v>292</v>
      </c>
      <c r="U113" s="56"/>
      <c r="V113" s="56">
        <v>863</v>
      </c>
      <c r="W113" s="56"/>
      <c r="X113" s="56"/>
      <c r="Y113" s="36" t="s">
        <v>183</v>
      </c>
      <c r="AC113" s="168">
        <f t="shared" si="22"/>
        <v>1540</v>
      </c>
      <c r="AD113" s="168">
        <v>292</v>
      </c>
      <c r="AE113" s="168">
        <v>385</v>
      </c>
      <c r="AF113" s="173">
        <v>863</v>
      </c>
      <c r="AG113" s="168">
        <v>0</v>
      </c>
      <c r="AH113" s="168"/>
      <c r="AI113" s="168"/>
      <c r="AJ113" s="168"/>
      <c r="AK113" s="170"/>
      <c r="AL113" s="170"/>
      <c r="AM113" s="168"/>
      <c r="AN113" s="170"/>
      <c r="AO113" s="168"/>
      <c r="AP113" s="168"/>
      <c r="AQ113" s="168">
        <f>X113/1.1</f>
        <v>0</v>
      </c>
      <c r="AR113" s="171"/>
      <c r="AS113" s="194"/>
      <c r="AT113" s="194"/>
    </row>
    <row r="114" spans="1:46" ht="10.9" customHeight="1" x14ac:dyDescent="0.3">
      <c r="A114" s="300"/>
      <c r="B114" s="302"/>
      <c r="C114" s="296" t="s">
        <v>55</v>
      </c>
      <c r="D114" s="18" t="s">
        <v>446</v>
      </c>
      <c r="E114" s="76">
        <v>9810592000046</v>
      </c>
      <c r="F114" s="16">
        <v>248</v>
      </c>
      <c r="G114" s="8" t="s">
        <v>16</v>
      </c>
      <c r="H114" s="26" t="s">
        <v>12</v>
      </c>
      <c r="I114" s="26" t="s">
        <v>47</v>
      </c>
      <c r="J114" s="26"/>
      <c r="K114" s="67">
        <v>9000</v>
      </c>
      <c r="L114" s="131">
        <f t="shared" si="18"/>
        <v>2340</v>
      </c>
      <c r="M114" s="157">
        <f t="shared" si="14"/>
        <v>8.2222222222222224E-2</v>
      </c>
      <c r="N114" s="131">
        <f t="shared" si="19"/>
        <v>5400</v>
      </c>
      <c r="O114" s="132">
        <f t="shared" si="15"/>
        <v>0.42222222222222222</v>
      </c>
      <c r="P114" s="73">
        <v>1600</v>
      </c>
      <c r="Q114" s="56">
        <f t="shared" si="20"/>
        <v>123</v>
      </c>
      <c r="R114" s="48">
        <f t="shared" si="16"/>
        <v>1477</v>
      </c>
      <c r="S114" s="52">
        <v>260</v>
      </c>
      <c r="T114" s="52">
        <v>760</v>
      </c>
      <c r="U114" s="52">
        <f>T114/F114</f>
        <v>3.064516129032258</v>
      </c>
      <c r="V114" s="52">
        <f>203.5+44+71.5</f>
        <v>319</v>
      </c>
      <c r="W114" s="52">
        <v>0</v>
      </c>
      <c r="X114" s="53">
        <f>121+17</f>
        <v>138</v>
      </c>
      <c r="Y114" s="43" t="s">
        <v>148</v>
      </c>
      <c r="AC114" s="168">
        <f t="shared" si="22"/>
        <v>1447</v>
      </c>
      <c r="AD114" s="169">
        <v>760</v>
      </c>
      <c r="AE114" s="168">
        <v>230</v>
      </c>
      <c r="AF114" s="168">
        <v>204</v>
      </c>
      <c r="AG114" s="168">
        <v>71</v>
      </c>
      <c r="AH114" s="168">
        <v>44</v>
      </c>
      <c r="AI114" s="168"/>
      <c r="AJ114" s="168"/>
      <c r="AK114" s="170"/>
      <c r="AL114" s="170">
        <v>121</v>
      </c>
      <c r="AM114" s="168"/>
      <c r="AN114" s="170"/>
      <c r="AO114" s="168"/>
      <c r="AP114" s="168"/>
      <c r="AQ114" s="168">
        <v>17</v>
      </c>
      <c r="AR114" s="171"/>
      <c r="AS114" s="194"/>
      <c r="AT114" s="194"/>
    </row>
    <row r="115" spans="1:46" x14ac:dyDescent="0.3">
      <c r="A115" s="300"/>
      <c r="B115" s="302"/>
      <c r="C115" s="296"/>
      <c r="D115" s="18" t="s">
        <v>447</v>
      </c>
      <c r="E115" s="76">
        <v>9810592000045</v>
      </c>
      <c r="F115" s="16">
        <v>248</v>
      </c>
      <c r="G115" s="8" t="s">
        <v>16</v>
      </c>
      <c r="H115" s="26" t="s">
        <v>12</v>
      </c>
      <c r="I115" s="26" t="s">
        <v>47</v>
      </c>
      <c r="J115" s="26"/>
      <c r="K115" s="67">
        <v>9000</v>
      </c>
      <c r="L115" s="131">
        <f t="shared" si="18"/>
        <v>2340</v>
      </c>
      <c r="M115" s="157">
        <f t="shared" si="14"/>
        <v>8.2222222222222224E-2</v>
      </c>
      <c r="N115" s="131">
        <f t="shared" si="19"/>
        <v>5400</v>
      </c>
      <c r="O115" s="132">
        <f t="shared" si="15"/>
        <v>0.42222222222222222</v>
      </c>
      <c r="P115" s="73">
        <v>1600</v>
      </c>
      <c r="Q115" s="56">
        <f t="shared" si="20"/>
        <v>123</v>
      </c>
      <c r="R115" s="48">
        <f t="shared" si="16"/>
        <v>1477</v>
      </c>
      <c r="S115" s="52">
        <v>260</v>
      </c>
      <c r="T115" s="52">
        <v>760</v>
      </c>
      <c r="U115" s="52">
        <f>T115/F115</f>
        <v>3.064516129032258</v>
      </c>
      <c r="V115" s="52">
        <f t="shared" ref="V115:V118" si="23">203.5+44+71.5</f>
        <v>319</v>
      </c>
      <c r="W115" s="52">
        <v>0</v>
      </c>
      <c r="X115" s="53">
        <f t="shared" ref="X115:X118" si="24">121+17</f>
        <v>138</v>
      </c>
      <c r="Y115" s="43" t="s">
        <v>148</v>
      </c>
      <c r="AC115" s="168">
        <f t="shared" si="22"/>
        <v>1447</v>
      </c>
      <c r="AD115" s="169">
        <v>760</v>
      </c>
      <c r="AE115" s="168">
        <v>230</v>
      </c>
      <c r="AF115" s="168">
        <v>204</v>
      </c>
      <c r="AG115" s="168">
        <v>71</v>
      </c>
      <c r="AH115" s="168">
        <v>44</v>
      </c>
      <c r="AI115" s="168"/>
      <c r="AJ115" s="168"/>
      <c r="AK115" s="170"/>
      <c r="AL115" s="170">
        <v>121</v>
      </c>
      <c r="AM115" s="168"/>
      <c r="AN115" s="170"/>
      <c r="AO115" s="168"/>
      <c r="AP115" s="168"/>
      <c r="AQ115" s="168">
        <v>17</v>
      </c>
      <c r="AR115" s="171"/>
      <c r="AS115" s="194"/>
      <c r="AT115" s="194"/>
    </row>
    <row r="116" spans="1:46" x14ac:dyDescent="0.3">
      <c r="A116" s="300"/>
      <c r="B116" s="302"/>
      <c r="C116" s="296"/>
      <c r="D116" s="18" t="s">
        <v>448</v>
      </c>
      <c r="E116" s="76">
        <v>9810592000044</v>
      </c>
      <c r="F116" s="16">
        <v>248</v>
      </c>
      <c r="G116" s="8" t="s">
        <v>16</v>
      </c>
      <c r="H116" s="26" t="s">
        <v>12</v>
      </c>
      <c r="I116" s="26" t="s">
        <v>47</v>
      </c>
      <c r="J116" s="26"/>
      <c r="K116" s="67">
        <v>9000</v>
      </c>
      <c r="L116" s="131">
        <f t="shared" si="18"/>
        <v>2340</v>
      </c>
      <c r="M116" s="157">
        <f t="shared" si="14"/>
        <v>8.2222222222222224E-2</v>
      </c>
      <c r="N116" s="131">
        <f t="shared" si="19"/>
        <v>5400</v>
      </c>
      <c r="O116" s="132">
        <f t="shared" si="15"/>
        <v>0.42222222222222222</v>
      </c>
      <c r="P116" s="73">
        <v>1600</v>
      </c>
      <c r="Q116" s="56">
        <f t="shared" si="20"/>
        <v>123</v>
      </c>
      <c r="R116" s="48">
        <f t="shared" si="16"/>
        <v>1477</v>
      </c>
      <c r="S116" s="52">
        <v>260</v>
      </c>
      <c r="T116" s="52">
        <v>760</v>
      </c>
      <c r="U116" s="52">
        <f>T116/F116</f>
        <v>3.064516129032258</v>
      </c>
      <c r="V116" s="52">
        <f t="shared" si="23"/>
        <v>319</v>
      </c>
      <c r="W116" s="52">
        <v>0</v>
      </c>
      <c r="X116" s="53">
        <f t="shared" si="24"/>
        <v>138</v>
      </c>
      <c r="Y116" s="43" t="s">
        <v>148</v>
      </c>
      <c r="AC116" s="168">
        <f t="shared" si="22"/>
        <v>1447</v>
      </c>
      <c r="AD116" s="169">
        <v>760</v>
      </c>
      <c r="AE116" s="168">
        <v>230</v>
      </c>
      <c r="AF116" s="168">
        <v>204</v>
      </c>
      <c r="AG116" s="168">
        <v>71</v>
      </c>
      <c r="AH116" s="168">
        <v>44</v>
      </c>
      <c r="AI116" s="168"/>
      <c r="AJ116" s="168"/>
      <c r="AK116" s="170"/>
      <c r="AL116" s="170">
        <v>121</v>
      </c>
      <c r="AM116" s="168"/>
      <c r="AN116" s="170"/>
      <c r="AO116" s="168"/>
      <c r="AP116" s="168"/>
      <c r="AQ116" s="168">
        <v>17</v>
      </c>
      <c r="AR116" s="171"/>
      <c r="AS116" s="194"/>
      <c r="AT116" s="194"/>
    </row>
    <row r="117" spans="1:46" x14ac:dyDescent="0.3">
      <c r="A117" s="300"/>
      <c r="B117" s="302"/>
      <c r="C117" s="296"/>
      <c r="D117" s="18" t="s">
        <v>449</v>
      </c>
      <c r="E117" s="76">
        <v>9810592000042</v>
      </c>
      <c r="F117" s="16">
        <v>248</v>
      </c>
      <c r="G117" s="8" t="s">
        <v>16</v>
      </c>
      <c r="H117" s="26" t="s">
        <v>12</v>
      </c>
      <c r="I117" s="26" t="s">
        <v>47</v>
      </c>
      <c r="J117" s="26"/>
      <c r="K117" s="67">
        <v>9000</v>
      </c>
      <c r="L117" s="131">
        <f t="shared" si="18"/>
        <v>2340</v>
      </c>
      <c r="M117" s="157">
        <f t="shared" si="14"/>
        <v>8.2222222222222224E-2</v>
      </c>
      <c r="N117" s="131">
        <f t="shared" si="19"/>
        <v>5400</v>
      </c>
      <c r="O117" s="132">
        <f t="shared" si="15"/>
        <v>0.42222222222222222</v>
      </c>
      <c r="P117" s="73">
        <v>1600</v>
      </c>
      <c r="Q117" s="56">
        <f t="shared" si="20"/>
        <v>123</v>
      </c>
      <c r="R117" s="48">
        <f t="shared" si="16"/>
        <v>1477</v>
      </c>
      <c r="S117" s="52">
        <v>260</v>
      </c>
      <c r="T117" s="52">
        <v>760</v>
      </c>
      <c r="U117" s="52">
        <f>T117/F117</f>
        <v>3.064516129032258</v>
      </c>
      <c r="V117" s="52">
        <f t="shared" si="23"/>
        <v>319</v>
      </c>
      <c r="W117" s="52">
        <v>0</v>
      </c>
      <c r="X117" s="53">
        <f t="shared" si="24"/>
        <v>138</v>
      </c>
      <c r="Y117" s="43" t="s">
        <v>148</v>
      </c>
      <c r="AC117" s="168">
        <f t="shared" si="22"/>
        <v>1447</v>
      </c>
      <c r="AD117" s="169">
        <v>760</v>
      </c>
      <c r="AE117" s="168">
        <v>230</v>
      </c>
      <c r="AF117" s="168">
        <v>204</v>
      </c>
      <c r="AG117" s="168">
        <v>71</v>
      </c>
      <c r="AH117" s="168">
        <v>44</v>
      </c>
      <c r="AI117" s="168"/>
      <c r="AJ117" s="168"/>
      <c r="AK117" s="170"/>
      <c r="AL117" s="170">
        <v>121</v>
      </c>
      <c r="AM117" s="168"/>
      <c r="AN117" s="170"/>
      <c r="AO117" s="168"/>
      <c r="AP117" s="168"/>
      <c r="AQ117" s="168">
        <v>17</v>
      </c>
      <c r="AR117" s="171"/>
      <c r="AS117" s="194"/>
      <c r="AT117" s="194"/>
    </row>
    <row r="118" spans="1:46" x14ac:dyDescent="0.3">
      <c r="A118" s="300"/>
      <c r="B118" s="302"/>
      <c r="C118" s="296"/>
      <c r="D118" s="18" t="s">
        <v>450</v>
      </c>
      <c r="E118" s="76">
        <v>9810592000047</v>
      </c>
      <c r="F118" s="16">
        <v>248</v>
      </c>
      <c r="G118" s="8" t="s">
        <v>16</v>
      </c>
      <c r="H118" s="26" t="s">
        <v>12</v>
      </c>
      <c r="I118" s="26" t="s">
        <v>47</v>
      </c>
      <c r="J118" s="26"/>
      <c r="K118" s="67">
        <v>9000</v>
      </c>
      <c r="L118" s="131">
        <f t="shared" si="18"/>
        <v>2340</v>
      </c>
      <c r="M118" s="157">
        <f t="shared" si="14"/>
        <v>8.2222222222222224E-2</v>
      </c>
      <c r="N118" s="131">
        <f t="shared" si="19"/>
        <v>5400</v>
      </c>
      <c r="O118" s="132">
        <f t="shared" si="15"/>
        <v>0.42222222222222222</v>
      </c>
      <c r="P118" s="73">
        <v>1600</v>
      </c>
      <c r="Q118" s="56">
        <f t="shared" si="20"/>
        <v>123</v>
      </c>
      <c r="R118" s="48">
        <f t="shared" si="16"/>
        <v>1477</v>
      </c>
      <c r="S118" s="52">
        <v>260</v>
      </c>
      <c r="T118" s="52">
        <v>760</v>
      </c>
      <c r="U118" s="52">
        <f>T118/F118</f>
        <v>3.064516129032258</v>
      </c>
      <c r="V118" s="52">
        <f t="shared" si="23"/>
        <v>319</v>
      </c>
      <c r="W118" s="52">
        <v>0</v>
      </c>
      <c r="X118" s="53">
        <f t="shared" si="24"/>
        <v>138</v>
      </c>
      <c r="Y118" s="43" t="s">
        <v>148</v>
      </c>
      <c r="AC118" s="168">
        <f t="shared" si="22"/>
        <v>1447</v>
      </c>
      <c r="AD118" s="169">
        <v>760</v>
      </c>
      <c r="AE118" s="168">
        <v>230</v>
      </c>
      <c r="AF118" s="168">
        <v>204</v>
      </c>
      <c r="AG118" s="168">
        <v>71</v>
      </c>
      <c r="AH118" s="168">
        <v>44</v>
      </c>
      <c r="AI118" s="168"/>
      <c r="AJ118" s="168"/>
      <c r="AK118" s="170"/>
      <c r="AL118" s="170">
        <v>121</v>
      </c>
      <c r="AM118" s="168"/>
      <c r="AN118" s="170"/>
      <c r="AO118" s="168"/>
      <c r="AP118" s="168"/>
      <c r="AQ118" s="168">
        <v>17</v>
      </c>
      <c r="AR118" s="171"/>
      <c r="AS118" s="194"/>
      <c r="AT118" s="194"/>
    </row>
    <row r="119" spans="1:46" x14ac:dyDescent="0.3">
      <c r="A119" s="300"/>
      <c r="B119" s="294" t="s">
        <v>53</v>
      </c>
      <c r="C119" s="295" t="s">
        <v>54</v>
      </c>
      <c r="D119" s="10" t="s">
        <v>451</v>
      </c>
      <c r="E119" s="76">
        <v>9810592000010</v>
      </c>
      <c r="F119" s="16">
        <v>30</v>
      </c>
      <c r="G119" s="8" t="s">
        <v>16</v>
      </c>
      <c r="H119" s="26" t="s">
        <v>27</v>
      </c>
      <c r="I119" s="26" t="s">
        <v>73</v>
      </c>
      <c r="J119" s="26" t="s">
        <v>78</v>
      </c>
      <c r="K119" s="67">
        <v>5000</v>
      </c>
      <c r="L119" s="131">
        <f t="shared" si="18"/>
        <v>1300</v>
      </c>
      <c r="M119" s="157">
        <f t="shared" si="14"/>
        <v>0.06</v>
      </c>
      <c r="N119" s="131">
        <f t="shared" si="19"/>
        <v>3000</v>
      </c>
      <c r="O119" s="132">
        <f t="shared" si="15"/>
        <v>0.4</v>
      </c>
      <c r="P119" s="73">
        <v>1000</v>
      </c>
      <c r="Q119" s="56">
        <f t="shared" si="20"/>
        <v>175</v>
      </c>
      <c r="R119" s="48">
        <f t="shared" si="16"/>
        <v>825</v>
      </c>
      <c r="S119" s="52">
        <v>300</v>
      </c>
      <c r="T119" s="52">
        <v>217</v>
      </c>
      <c r="U119" s="52">
        <f t="shared" ref="U119:U141" si="25">T119/F119</f>
        <v>7.2333333333333334</v>
      </c>
      <c r="V119" s="52">
        <v>198</v>
      </c>
      <c r="W119" s="52">
        <v>110</v>
      </c>
      <c r="X119" s="52"/>
      <c r="Y119" s="43" t="s">
        <v>134</v>
      </c>
      <c r="AA119" s="40" t="s">
        <v>53</v>
      </c>
      <c r="AB119" s="40">
        <v>6</v>
      </c>
      <c r="AC119" s="172">
        <f t="shared" si="22"/>
        <v>825</v>
      </c>
      <c r="AD119" s="169">
        <v>217</v>
      </c>
      <c r="AE119" s="195">
        <v>300</v>
      </c>
      <c r="AF119" s="168">
        <v>198</v>
      </c>
      <c r="AG119" s="168"/>
      <c r="AH119" s="168"/>
      <c r="AI119" s="168"/>
      <c r="AJ119" s="168"/>
      <c r="AK119" s="170">
        <v>110</v>
      </c>
      <c r="AL119" s="170"/>
      <c r="AM119" s="168"/>
      <c r="AN119" s="170"/>
      <c r="AO119" s="168"/>
      <c r="AP119" s="168"/>
      <c r="AQ119" s="168">
        <f>X119/1.1</f>
        <v>0</v>
      </c>
      <c r="AR119" s="171"/>
      <c r="AS119" s="194" t="s">
        <v>530</v>
      </c>
      <c r="AT119" s="194">
        <v>-50</v>
      </c>
    </row>
    <row r="120" spans="1:46" x14ac:dyDescent="0.3">
      <c r="A120" s="300"/>
      <c r="B120" s="294"/>
      <c r="C120" s="295"/>
      <c r="D120" s="10" t="s">
        <v>452</v>
      </c>
      <c r="E120" s="76">
        <v>9810592000012</v>
      </c>
      <c r="F120" s="16">
        <v>30</v>
      </c>
      <c r="G120" s="8" t="s">
        <v>16</v>
      </c>
      <c r="H120" s="26" t="s">
        <v>27</v>
      </c>
      <c r="I120" s="26" t="s">
        <v>73</v>
      </c>
      <c r="J120" s="26" t="s">
        <v>78</v>
      </c>
      <c r="K120" s="67">
        <v>5000</v>
      </c>
      <c r="L120" s="131">
        <f t="shared" si="18"/>
        <v>1300</v>
      </c>
      <c r="M120" s="157">
        <f t="shared" si="14"/>
        <v>0.06</v>
      </c>
      <c r="N120" s="131">
        <f t="shared" si="19"/>
        <v>3000</v>
      </c>
      <c r="O120" s="132">
        <f t="shared" si="15"/>
        <v>0.4</v>
      </c>
      <c r="P120" s="73">
        <v>1000</v>
      </c>
      <c r="Q120" s="56">
        <f t="shared" si="20"/>
        <v>175</v>
      </c>
      <c r="R120" s="48">
        <f t="shared" si="16"/>
        <v>825</v>
      </c>
      <c r="S120" s="52">
        <v>300</v>
      </c>
      <c r="T120" s="52">
        <v>217</v>
      </c>
      <c r="U120" s="52">
        <f t="shared" si="25"/>
        <v>7.2333333333333334</v>
      </c>
      <c r="V120" s="52">
        <v>198</v>
      </c>
      <c r="W120" s="52">
        <v>110</v>
      </c>
      <c r="X120" s="52"/>
      <c r="Y120" s="43" t="s">
        <v>134</v>
      </c>
      <c r="AC120" s="172">
        <f t="shared" si="22"/>
        <v>825</v>
      </c>
      <c r="AD120" s="169">
        <v>217</v>
      </c>
      <c r="AE120" s="195">
        <v>300</v>
      </c>
      <c r="AF120" s="168">
        <v>198</v>
      </c>
      <c r="AG120" s="168"/>
      <c r="AH120" s="168"/>
      <c r="AI120" s="168"/>
      <c r="AJ120" s="168"/>
      <c r="AK120" s="170">
        <v>110</v>
      </c>
      <c r="AL120" s="170"/>
      <c r="AM120" s="168"/>
      <c r="AN120" s="170"/>
      <c r="AO120" s="168"/>
      <c r="AP120" s="168"/>
      <c r="AQ120" s="168">
        <f>X120/1.1</f>
        <v>0</v>
      </c>
      <c r="AR120" s="171"/>
      <c r="AS120" s="194" t="s">
        <v>530</v>
      </c>
      <c r="AT120" s="194">
        <v>-50</v>
      </c>
    </row>
    <row r="121" spans="1:46" x14ac:dyDescent="0.3">
      <c r="A121" s="300"/>
      <c r="B121" s="294"/>
      <c r="C121" s="295"/>
      <c r="D121" s="10" t="s">
        <v>453</v>
      </c>
      <c r="E121" s="76">
        <v>9810592000011</v>
      </c>
      <c r="F121" s="16">
        <v>30</v>
      </c>
      <c r="G121" s="8" t="s">
        <v>16</v>
      </c>
      <c r="H121" s="26" t="s">
        <v>27</v>
      </c>
      <c r="I121" s="26" t="s">
        <v>73</v>
      </c>
      <c r="J121" s="26" t="s">
        <v>78</v>
      </c>
      <c r="K121" s="67">
        <v>5000</v>
      </c>
      <c r="L121" s="131">
        <f t="shared" si="18"/>
        <v>1300</v>
      </c>
      <c r="M121" s="157">
        <f t="shared" si="14"/>
        <v>0.06</v>
      </c>
      <c r="N121" s="131">
        <f t="shared" si="19"/>
        <v>3000</v>
      </c>
      <c r="O121" s="132">
        <f t="shared" si="15"/>
        <v>0.4</v>
      </c>
      <c r="P121" s="73">
        <v>1000</v>
      </c>
      <c r="Q121" s="56">
        <f t="shared" si="20"/>
        <v>175</v>
      </c>
      <c r="R121" s="48">
        <f t="shared" si="16"/>
        <v>825</v>
      </c>
      <c r="S121" s="52">
        <v>300</v>
      </c>
      <c r="T121" s="52">
        <v>217</v>
      </c>
      <c r="U121" s="52">
        <f t="shared" si="25"/>
        <v>7.2333333333333334</v>
      </c>
      <c r="V121" s="52">
        <v>198</v>
      </c>
      <c r="W121" s="52">
        <v>110</v>
      </c>
      <c r="X121" s="52"/>
      <c r="Y121" s="43" t="s">
        <v>134</v>
      </c>
      <c r="AC121" s="172">
        <f t="shared" si="22"/>
        <v>825</v>
      </c>
      <c r="AD121" s="169">
        <v>217</v>
      </c>
      <c r="AE121" s="195">
        <v>300</v>
      </c>
      <c r="AF121" s="168">
        <v>198</v>
      </c>
      <c r="AG121" s="168"/>
      <c r="AH121" s="168"/>
      <c r="AI121" s="168"/>
      <c r="AJ121" s="168"/>
      <c r="AK121" s="170">
        <v>110</v>
      </c>
      <c r="AL121" s="170"/>
      <c r="AM121" s="168"/>
      <c r="AN121" s="170"/>
      <c r="AO121" s="168"/>
      <c r="AP121" s="168"/>
      <c r="AQ121" s="168">
        <f>X121/1.1</f>
        <v>0</v>
      </c>
      <c r="AR121" s="171"/>
      <c r="AS121" s="194" t="s">
        <v>530</v>
      </c>
      <c r="AT121" s="194">
        <v>-50</v>
      </c>
    </row>
    <row r="122" spans="1:46" x14ac:dyDescent="0.3">
      <c r="A122" s="300"/>
      <c r="B122" s="294"/>
      <c r="C122" s="295"/>
      <c r="D122" s="7" t="s">
        <v>454</v>
      </c>
      <c r="E122" s="76">
        <v>9810592000015</v>
      </c>
      <c r="F122" s="16">
        <v>80</v>
      </c>
      <c r="G122" s="8" t="s">
        <v>8</v>
      </c>
      <c r="H122" s="26" t="s">
        <v>12</v>
      </c>
      <c r="I122" s="26" t="s">
        <v>74</v>
      </c>
      <c r="J122" s="26" t="s">
        <v>78</v>
      </c>
      <c r="K122" s="67">
        <v>15000</v>
      </c>
      <c r="L122" s="131">
        <f t="shared" si="18"/>
        <v>3900</v>
      </c>
      <c r="M122" s="157">
        <f t="shared" si="14"/>
        <v>8.666666666666667E-2</v>
      </c>
      <c r="N122" s="131">
        <f t="shared" si="19"/>
        <v>9000</v>
      </c>
      <c r="O122" s="132">
        <f t="shared" si="15"/>
        <v>0.42666666666666669</v>
      </c>
      <c r="P122" s="73">
        <v>2600</v>
      </c>
      <c r="Q122" s="56">
        <f t="shared" si="20"/>
        <v>126</v>
      </c>
      <c r="R122" s="48">
        <f>S122+T122+V122+W122+X122</f>
        <v>2474</v>
      </c>
      <c r="S122" s="52">
        <v>530</v>
      </c>
      <c r="T122" s="52">
        <v>310</v>
      </c>
      <c r="U122" s="52">
        <f t="shared" si="25"/>
        <v>3.875</v>
      </c>
      <c r="V122" s="52">
        <v>1265</v>
      </c>
      <c r="W122" s="52">
        <v>215</v>
      </c>
      <c r="X122" s="53">
        <v>154</v>
      </c>
      <c r="Y122" s="43" t="s">
        <v>147</v>
      </c>
      <c r="AC122" s="172">
        <f t="shared" si="22"/>
        <v>2474</v>
      </c>
      <c r="AD122" s="168">
        <v>310</v>
      </c>
      <c r="AE122" s="195">
        <v>530</v>
      </c>
      <c r="AF122" s="168">
        <v>1265</v>
      </c>
      <c r="AG122" s="168"/>
      <c r="AH122" s="168"/>
      <c r="AI122" s="168"/>
      <c r="AJ122" s="168"/>
      <c r="AK122" s="170">
        <v>215</v>
      </c>
      <c r="AL122" s="170">
        <f t="shared" ref="AL122:AM124" si="26">70*1.1</f>
        <v>77</v>
      </c>
      <c r="AM122" s="168">
        <f t="shared" si="26"/>
        <v>77</v>
      </c>
      <c r="AN122" s="170"/>
      <c r="AO122" s="168"/>
      <c r="AP122" s="168"/>
      <c r="AQ122" s="168">
        <v>0</v>
      </c>
      <c r="AR122" s="171"/>
      <c r="AS122" s="194" t="s">
        <v>531</v>
      </c>
      <c r="AT122" s="194">
        <v>-13</v>
      </c>
    </row>
    <row r="123" spans="1:46" x14ac:dyDescent="0.3">
      <c r="A123" s="300"/>
      <c r="B123" s="294"/>
      <c r="C123" s="295"/>
      <c r="D123" s="7" t="s">
        <v>455</v>
      </c>
      <c r="E123" s="76">
        <v>9810592000013</v>
      </c>
      <c r="F123" s="16">
        <v>80</v>
      </c>
      <c r="G123" s="8" t="s">
        <v>8</v>
      </c>
      <c r="H123" s="26" t="s">
        <v>12</v>
      </c>
      <c r="I123" s="26" t="s">
        <v>74</v>
      </c>
      <c r="J123" s="26" t="s">
        <v>78</v>
      </c>
      <c r="K123" s="67">
        <v>15000</v>
      </c>
      <c r="L123" s="131">
        <f t="shared" si="18"/>
        <v>3900</v>
      </c>
      <c r="M123" s="157">
        <f t="shared" si="14"/>
        <v>8.666666666666667E-2</v>
      </c>
      <c r="N123" s="131">
        <f t="shared" si="19"/>
        <v>9000</v>
      </c>
      <c r="O123" s="132">
        <f t="shared" si="15"/>
        <v>0.42666666666666669</v>
      </c>
      <c r="P123" s="73">
        <v>2600</v>
      </c>
      <c r="Q123" s="56">
        <f t="shared" si="20"/>
        <v>126</v>
      </c>
      <c r="R123" s="48">
        <f t="shared" si="16"/>
        <v>2474</v>
      </c>
      <c r="S123" s="52">
        <v>530</v>
      </c>
      <c r="T123" s="52">
        <v>310</v>
      </c>
      <c r="U123" s="52">
        <f t="shared" si="25"/>
        <v>3.875</v>
      </c>
      <c r="V123" s="52">
        <v>1265</v>
      </c>
      <c r="W123" s="52">
        <v>215</v>
      </c>
      <c r="X123" s="53">
        <v>154</v>
      </c>
      <c r="Y123" s="43" t="s">
        <v>147</v>
      </c>
      <c r="AC123" s="172">
        <f t="shared" si="22"/>
        <v>2474</v>
      </c>
      <c r="AD123" s="168">
        <v>310</v>
      </c>
      <c r="AE123" s="195">
        <v>530</v>
      </c>
      <c r="AF123" s="168">
        <v>1265</v>
      </c>
      <c r="AG123" s="168"/>
      <c r="AH123" s="168"/>
      <c r="AI123" s="168"/>
      <c r="AJ123" s="168"/>
      <c r="AK123" s="170">
        <v>215</v>
      </c>
      <c r="AL123" s="170">
        <f t="shared" si="26"/>
        <v>77</v>
      </c>
      <c r="AM123" s="168">
        <f t="shared" si="26"/>
        <v>77</v>
      </c>
      <c r="AN123" s="170"/>
      <c r="AO123" s="168"/>
      <c r="AP123" s="168"/>
      <c r="AQ123" s="168">
        <v>0</v>
      </c>
      <c r="AR123" s="171"/>
      <c r="AS123" s="194" t="s">
        <v>531</v>
      </c>
      <c r="AT123" s="194">
        <v>-13</v>
      </c>
    </row>
    <row r="124" spans="1:46" x14ac:dyDescent="0.3">
      <c r="A124" s="300"/>
      <c r="B124" s="294"/>
      <c r="C124" s="295"/>
      <c r="D124" s="7" t="s">
        <v>456</v>
      </c>
      <c r="E124" s="76">
        <v>9810592000014</v>
      </c>
      <c r="F124" s="16">
        <v>80</v>
      </c>
      <c r="G124" s="8" t="s">
        <v>8</v>
      </c>
      <c r="H124" s="26" t="s">
        <v>12</v>
      </c>
      <c r="I124" s="26" t="s">
        <v>74</v>
      </c>
      <c r="J124" s="26" t="s">
        <v>78</v>
      </c>
      <c r="K124" s="67">
        <v>15000</v>
      </c>
      <c r="L124" s="131">
        <f t="shared" si="18"/>
        <v>3900</v>
      </c>
      <c r="M124" s="157">
        <f t="shared" si="14"/>
        <v>8.666666666666667E-2</v>
      </c>
      <c r="N124" s="131">
        <f t="shared" si="19"/>
        <v>9000</v>
      </c>
      <c r="O124" s="132">
        <f t="shared" si="15"/>
        <v>0.42666666666666669</v>
      </c>
      <c r="P124" s="73">
        <v>2600</v>
      </c>
      <c r="Q124" s="56">
        <f t="shared" si="20"/>
        <v>126</v>
      </c>
      <c r="R124" s="48">
        <f>S124+T124+V124+W124+X124</f>
        <v>2474</v>
      </c>
      <c r="S124" s="52">
        <v>530</v>
      </c>
      <c r="T124" s="52">
        <v>310</v>
      </c>
      <c r="U124" s="52">
        <f t="shared" si="25"/>
        <v>3.875</v>
      </c>
      <c r="V124" s="52">
        <v>1265</v>
      </c>
      <c r="W124" s="52">
        <v>215</v>
      </c>
      <c r="X124" s="53">
        <v>154</v>
      </c>
      <c r="Y124" s="43" t="s">
        <v>147</v>
      </c>
      <c r="AC124" s="172">
        <f t="shared" si="22"/>
        <v>2474</v>
      </c>
      <c r="AD124" s="168">
        <v>310</v>
      </c>
      <c r="AE124" s="195">
        <v>530</v>
      </c>
      <c r="AF124" s="168">
        <v>1265</v>
      </c>
      <c r="AG124" s="168"/>
      <c r="AH124" s="168"/>
      <c r="AI124" s="168"/>
      <c r="AJ124" s="168"/>
      <c r="AK124" s="170">
        <v>215</v>
      </c>
      <c r="AL124" s="170">
        <f t="shared" si="26"/>
        <v>77</v>
      </c>
      <c r="AM124" s="168">
        <f t="shared" si="26"/>
        <v>77</v>
      </c>
      <c r="AN124" s="170"/>
      <c r="AO124" s="168"/>
      <c r="AP124" s="168"/>
      <c r="AQ124" s="168">
        <v>0</v>
      </c>
      <c r="AR124" s="171"/>
      <c r="AS124" s="194" t="s">
        <v>531</v>
      </c>
      <c r="AT124" s="194">
        <v>-13</v>
      </c>
    </row>
    <row r="125" spans="1:46" x14ac:dyDescent="0.3">
      <c r="A125" s="300"/>
      <c r="B125" s="294" t="s">
        <v>56</v>
      </c>
      <c r="C125" s="296" t="s">
        <v>57</v>
      </c>
      <c r="D125" s="18" t="s">
        <v>457</v>
      </c>
      <c r="E125" s="76">
        <v>9810592000213</v>
      </c>
      <c r="F125" s="12">
        <v>50</v>
      </c>
      <c r="G125" s="8" t="s">
        <v>16</v>
      </c>
      <c r="H125" s="26" t="s">
        <v>12</v>
      </c>
      <c r="I125" s="26" t="s">
        <v>33</v>
      </c>
      <c r="J125" s="26" t="s">
        <v>77</v>
      </c>
      <c r="K125" s="67">
        <v>21000</v>
      </c>
      <c r="L125" s="131">
        <f t="shared" si="18"/>
        <v>5460</v>
      </c>
      <c r="M125" s="157">
        <f t="shared" si="14"/>
        <v>0.11714285714285715</v>
      </c>
      <c r="N125" s="131">
        <f t="shared" si="19"/>
        <v>12600</v>
      </c>
      <c r="O125" s="132">
        <f t="shared" si="15"/>
        <v>0.45714285714285713</v>
      </c>
      <c r="P125" s="73">
        <v>3000</v>
      </c>
      <c r="Q125" s="56">
        <f t="shared" si="20"/>
        <v>335</v>
      </c>
      <c r="R125" s="48">
        <f t="shared" si="16"/>
        <v>2665</v>
      </c>
      <c r="S125" s="52">
        <v>800</v>
      </c>
      <c r="T125" s="52">
        <v>440</v>
      </c>
      <c r="U125" s="52">
        <f t="shared" si="25"/>
        <v>8.8000000000000007</v>
      </c>
      <c r="V125" s="52">
        <v>1298</v>
      </c>
      <c r="W125" s="52">
        <v>127</v>
      </c>
      <c r="X125" s="52"/>
      <c r="Y125" s="43" t="s">
        <v>136</v>
      </c>
      <c r="AA125" s="40" t="s">
        <v>56</v>
      </c>
      <c r="AB125" s="40">
        <v>2</v>
      </c>
    </row>
    <row r="126" spans="1:46" x14ac:dyDescent="0.3">
      <c r="A126" s="300"/>
      <c r="B126" s="294"/>
      <c r="C126" s="296"/>
      <c r="D126" s="18" t="s">
        <v>458</v>
      </c>
      <c r="E126" s="76">
        <v>9810592000214</v>
      </c>
      <c r="F126" s="12">
        <v>15</v>
      </c>
      <c r="G126" s="8" t="s">
        <v>8</v>
      </c>
      <c r="H126" s="26" t="s">
        <v>27</v>
      </c>
      <c r="I126" s="26" t="s">
        <v>33</v>
      </c>
      <c r="J126" s="26" t="s">
        <v>77</v>
      </c>
      <c r="K126" s="67">
        <v>19000</v>
      </c>
      <c r="L126" s="131">
        <f t="shared" si="18"/>
        <v>4940</v>
      </c>
      <c r="M126" s="157">
        <f t="shared" si="14"/>
        <v>0.11263157894736842</v>
      </c>
      <c r="N126" s="131">
        <f t="shared" si="19"/>
        <v>11400</v>
      </c>
      <c r="O126" s="132">
        <f t="shared" si="15"/>
        <v>0.45263157894736844</v>
      </c>
      <c r="P126" s="73">
        <v>2800</v>
      </c>
      <c r="Q126" s="56">
        <f t="shared" si="20"/>
        <v>243</v>
      </c>
      <c r="R126" s="48">
        <f t="shared" si="16"/>
        <v>2557</v>
      </c>
      <c r="S126" s="52">
        <v>800</v>
      </c>
      <c r="T126" s="52">
        <v>300</v>
      </c>
      <c r="U126" s="52">
        <f t="shared" si="25"/>
        <v>20</v>
      </c>
      <c r="V126" s="52">
        <v>1320</v>
      </c>
      <c r="W126" s="52">
        <v>137</v>
      </c>
      <c r="X126" s="52"/>
      <c r="Y126" s="41" t="s">
        <v>142</v>
      </c>
    </row>
    <row r="127" spans="1:46" ht="10.9" customHeight="1" x14ac:dyDescent="0.3">
      <c r="A127" s="300"/>
      <c r="B127" s="294" t="s">
        <v>58</v>
      </c>
      <c r="C127" s="296" t="s">
        <v>59</v>
      </c>
      <c r="D127" s="18" t="s">
        <v>459</v>
      </c>
      <c r="E127" s="76">
        <v>9810592000249</v>
      </c>
      <c r="F127" s="12">
        <v>120</v>
      </c>
      <c r="G127" s="8" t="s">
        <v>16</v>
      </c>
      <c r="H127" s="26" t="s">
        <v>12</v>
      </c>
      <c r="I127" s="26" t="s">
        <v>35</v>
      </c>
      <c r="J127" s="26"/>
      <c r="K127" s="67">
        <v>12000</v>
      </c>
      <c r="L127" s="131">
        <f t="shared" si="18"/>
        <v>3120</v>
      </c>
      <c r="M127" s="157">
        <f t="shared" si="14"/>
        <v>0.11</v>
      </c>
      <c r="N127" s="131">
        <f t="shared" si="19"/>
        <v>7200</v>
      </c>
      <c r="O127" s="132">
        <f t="shared" si="15"/>
        <v>0.45</v>
      </c>
      <c r="P127" s="73">
        <v>1800</v>
      </c>
      <c r="Q127" s="56">
        <f t="shared" si="20"/>
        <v>177</v>
      </c>
      <c r="R127" s="48">
        <f t="shared" si="16"/>
        <v>1623</v>
      </c>
      <c r="S127" s="52">
        <v>156</v>
      </c>
      <c r="T127" s="52">
        <v>1024</v>
      </c>
      <c r="U127" s="52">
        <f t="shared" si="25"/>
        <v>8.5333333333333332</v>
      </c>
      <c r="V127" s="52">
        <v>429</v>
      </c>
      <c r="W127" s="52">
        <v>0</v>
      </c>
      <c r="X127" s="53">
        <v>14</v>
      </c>
      <c r="Y127" s="43" t="s">
        <v>149</v>
      </c>
      <c r="AA127" s="40" t="s">
        <v>58</v>
      </c>
      <c r="AB127" s="40">
        <v>5</v>
      </c>
    </row>
    <row r="128" spans="1:46" x14ac:dyDescent="0.3">
      <c r="A128" s="300"/>
      <c r="B128" s="294"/>
      <c r="C128" s="296"/>
      <c r="D128" s="18" t="s">
        <v>460</v>
      </c>
      <c r="E128" s="76">
        <v>9810592000251</v>
      </c>
      <c r="F128" s="12">
        <v>120</v>
      </c>
      <c r="G128" s="8" t="s">
        <v>8</v>
      </c>
      <c r="H128" s="26" t="s">
        <v>12</v>
      </c>
      <c r="I128" s="26" t="s">
        <v>35</v>
      </c>
      <c r="J128" s="26"/>
      <c r="K128" s="67">
        <v>9000</v>
      </c>
      <c r="L128" s="131">
        <f t="shared" si="18"/>
        <v>2340</v>
      </c>
      <c r="M128" s="157">
        <f t="shared" si="14"/>
        <v>8.2222222222222224E-2</v>
      </c>
      <c r="N128" s="131">
        <f t="shared" si="19"/>
        <v>5400</v>
      </c>
      <c r="O128" s="132">
        <f t="shared" si="15"/>
        <v>0.42222222222222222</v>
      </c>
      <c r="P128" s="73">
        <v>1600</v>
      </c>
      <c r="Q128" s="56">
        <f t="shared" si="20"/>
        <v>167</v>
      </c>
      <c r="R128" s="48">
        <f t="shared" si="16"/>
        <v>1433</v>
      </c>
      <c r="S128" s="52">
        <v>198</v>
      </c>
      <c r="T128" s="52">
        <v>792</v>
      </c>
      <c r="U128" s="52">
        <f t="shared" si="25"/>
        <v>6.6</v>
      </c>
      <c r="V128" s="52">
        <v>429</v>
      </c>
      <c r="W128" s="52">
        <v>0</v>
      </c>
      <c r="X128" s="53">
        <v>14</v>
      </c>
      <c r="Y128" s="43" t="s">
        <v>149</v>
      </c>
      <c r="AC128" s="168">
        <f t="shared" ref="AC128:AC131" si="27">SUM(AD128:AR128)</f>
        <v>1433.3</v>
      </c>
      <c r="AD128" s="195">
        <v>792</v>
      </c>
      <c r="AE128" s="168">
        <v>198</v>
      </c>
      <c r="AF128" s="168">
        <v>429</v>
      </c>
      <c r="AG128" s="168"/>
      <c r="AH128" s="168"/>
      <c r="AI128" s="168"/>
      <c r="AJ128" s="168"/>
      <c r="AK128" s="170"/>
      <c r="AL128" s="175"/>
      <c r="AM128" s="168"/>
      <c r="AN128" s="170"/>
      <c r="AO128" s="168"/>
      <c r="AP128" s="168"/>
      <c r="AQ128" s="168">
        <f>13*1.1</f>
        <v>14.3</v>
      </c>
      <c r="AR128" s="171"/>
      <c r="AS128" s="194" t="s">
        <v>532</v>
      </c>
      <c r="AT128" s="194">
        <v>-22</v>
      </c>
    </row>
    <row r="129" spans="1:46" x14ac:dyDescent="0.3">
      <c r="A129" s="300"/>
      <c r="B129" s="294"/>
      <c r="C129" s="296"/>
      <c r="D129" s="18" t="s">
        <v>461</v>
      </c>
      <c r="E129" s="76">
        <v>9810592000250</v>
      </c>
      <c r="F129" s="16">
        <v>70</v>
      </c>
      <c r="G129" s="8" t="s">
        <v>199</v>
      </c>
      <c r="H129" s="26" t="s">
        <v>12</v>
      </c>
      <c r="I129" s="26" t="s">
        <v>70</v>
      </c>
      <c r="J129" s="26" t="s">
        <v>76</v>
      </c>
      <c r="K129" s="67">
        <v>15000</v>
      </c>
      <c r="L129" s="131">
        <f t="shared" si="18"/>
        <v>3900</v>
      </c>
      <c r="M129" s="157">
        <f t="shared" si="14"/>
        <v>4.6666666666666669E-2</v>
      </c>
      <c r="N129" s="131">
        <f t="shared" si="19"/>
        <v>9000</v>
      </c>
      <c r="O129" s="132">
        <f t="shared" si="15"/>
        <v>0.38666666666666666</v>
      </c>
      <c r="P129" s="73">
        <v>3200</v>
      </c>
      <c r="Q129" s="56">
        <f t="shared" si="20"/>
        <v>185</v>
      </c>
      <c r="R129" s="48">
        <f t="shared" si="16"/>
        <v>3015</v>
      </c>
      <c r="S129" s="52">
        <v>1200</v>
      </c>
      <c r="T129" s="52">
        <v>780</v>
      </c>
      <c r="U129" s="52">
        <f t="shared" si="25"/>
        <v>11.142857142857142</v>
      </c>
      <c r="V129" s="52">
        <v>600</v>
      </c>
      <c r="W129" s="52">
        <v>215</v>
      </c>
      <c r="X129" s="53">
        <v>220</v>
      </c>
      <c r="Y129" s="43" t="s">
        <v>150</v>
      </c>
      <c r="AC129" s="168">
        <f t="shared" si="27"/>
        <v>3014.5</v>
      </c>
      <c r="AD129" s="168">
        <v>800.8</v>
      </c>
      <c r="AE129" s="168">
        <v>550</v>
      </c>
      <c r="AF129" s="173">
        <v>1188</v>
      </c>
      <c r="AG129" s="168"/>
      <c r="AH129" s="168"/>
      <c r="AI129" s="168"/>
      <c r="AJ129" s="168"/>
      <c r="AK129" s="170">
        <f>195*1.1</f>
        <v>214.50000000000003</v>
      </c>
      <c r="AL129" s="170">
        <f>(80+120)*1.1</f>
        <v>220.00000000000003</v>
      </c>
      <c r="AM129" s="168"/>
      <c r="AN129" s="170"/>
      <c r="AO129" s="168"/>
      <c r="AP129" s="168"/>
      <c r="AQ129" s="168">
        <v>0</v>
      </c>
      <c r="AR129" s="171">
        <f>46.2-5</f>
        <v>41.2</v>
      </c>
      <c r="AS129" s="194"/>
      <c r="AT129" s="194"/>
    </row>
    <row r="130" spans="1:46" x14ac:dyDescent="0.3">
      <c r="A130" s="300"/>
      <c r="B130" s="294"/>
      <c r="C130" s="296"/>
      <c r="D130" s="18" t="s">
        <v>462</v>
      </c>
      <c r="E130" s="76">
        <v>9810592000252</v>
      </c>
      <c r="F130" s="16">
        <v>150</v>
      </c>
      <c r="G130" s="8" t="s">
        <v>16</v>
      </c>
      <c r="H130" s="26" t="s">
        <v>12</v>
      </c>
      <c r="I130" s="26" t="s">
        <v>30</v>
      </c>
      <c r="J130" s="26"/>
      <c r="K130" s="67">
        <v>13000</v>
      </c>
      <c r="L130" s="131">
        <f t="shared" si="18"/>
        <v>3380</v>
      </c>
      <c r="M130" s="157">
        <f t="shared" si="14"/>
        <v>0.06</v>
      </c>
      <c r="N130" s="131">
        <f t="shared" si="19"/>
        <v>7800</v>
      </c>
      <c r="O130" s="132">
        <f t="shared" si="15"/>
        <v>0.4</v>
      </c>
      <c r="P130" s="73">
        <v>2600</v>
      </c>
      <c r="Q130" s="56">
        <f t="shared" si="20"/>
        <v>131</v>
      </c>
      <c r="R130" s="48">
        <f t="shared" si="16"/>
        <v>2469</v>
      </c>
      <c r="S130" s="52">
        <v>213</v>
      </c>
      <c r="T130" s="52">
        <v>1397</v>
      </c>
      <c r="U130" s="52">
        <f t="shared" si="25"/>
        <v>9.3133333333333326</v>
      </c>
      <c r="V130" s="52">
        <f>330+363</f>
        <v>693</v>
      </c>
      <c r="W130" s="52">
        <v>0</v>
      </c>
      <c r="X130" s="53">
        <f>154+12</f>
        <v>166</v>
      </c>
      <c r="Y130" s="43" t="s">
        <v>151</v>
      </c>
      <c r="AC130" s="168">
        <f t="shared" si="27"/>
        <v>2439</v>
      </c>
      <c r="AD130" s="168">
        <v>1397</v>
      </c>
      <c r="AE130" s="173">
        <v>183</v>
      </c>
      <c r="AF130" s="168">
        <v>330</v>
      </c>
      <c r="AG130" s="168"/>
      <c r="AH130" s="168"/>
      <c r="AI130" s="168"/>
      <c r="AJ130" s="168">
        <v>363</v>
      </c>
      <c r="AK130" s="170"/>
      <c r="AL130" s="170">
        <v>154</v>
      </c>
      <c r="AM130" s="168">
        <v>0</v>
      </c>
      <c r="AN130" s="170"/>
      <c r="AO130" s="168"/>
      <c r="AP130" s="168"/>
      <c r="AQ130" s="168">
        <v>12</v>
      </c>
      <c r="AR130" s="171"/>
      <c r="AS130" s="194"/>
      <c r="AT130" s="194"/>
    </row>
    <row r="131" spans="1:46" x14ac:dyDescent="0.3">
      <c r="A131" s="300"/>
      <c r="B131" s="294"/>
      <c r="C131" s="296"/>
      <c r="D131" s="18" t="s">
        <v>463</v>
      </c>
      <c r="E131" s="76">
        <v>9810592000381</v>
      </c>
      <c r="F131" s="16">
        <v>38</v>
      </c>
      <c r="G131" s="8" t="s">
        <v>8</v>
      </c>
      <c r="H131" s="26" t="s">
        <v>60</v>
      </c>
      <c r="I131" s="26" t="s">
        <v>61</v>
      </c>
      <c r="J131" s="26"/>
      <c r="K131" s="67">
        <v>23000</v>
      </c>
      <c r="L131" s="131">
        <f t="shared" si="18"/>
        <v>5980</v>
      </c>
      <c r="M131" s="157">
        <f t="shared" si="14"/>
        <v>5.565217391304348E-2</v>
      </c>
      <c r="N131" s="131">
        <f t="shared" si="19"/>
        <v>13800</v>
      </c>
      <c r="O131" s="132">
        <f t="shared" si="15"/>
        <v>0.39565217391304347</v>
      </c>
      <c r="P131" s="73">
        <v>4700</v>
      </c>
      <c r="Q131" s="56">
        <f t="shared" si="20"/>
        <v>462</v>
      </c>
      <c r="R131" s="48">
        <f t="shared" si="16"/>
        <v>4238</v>
      </c>
      <c r="S131" s="52">
        <v>1490</v>
      </c>
      <c r="T131" s="52">
        <v>900</v>
      </c>
      <c r="U131" s="52">
        <f t="shared" si="25"/>
        <v>23.684210526315791</v>
      </c>
      <c r="V131" s="52">
        <v>1837</v>
      </c>
      <c r="W131" s="52">
        <v>0</v>
      </c>
      <c r="X131" s="52">
        <v>11</v>
      </c>
      <c r="Y131" s="43" t="s">
        <v>181</v>
      </c>
      <c r="AC131" s="168">
        <f t="shared" si="27"/>
        <v>4127</v>
      </c>
      <c r="AD131" s="169">
        <v>900</v>
      </c>
      <c r="AE131" s="195">
        <v>1490</v>
      </c>
      <c r="AF131" s="168">
        <v>1737</v>
      </c>
      <c r="AG131" s="168"/>
      <c r="AH131" s="168"/>
      <c r="AI131" s="168"/>
      <c r="AJ131" s="168"/>
      <c r="AK131" s="170"/>
      <c r="AL131" s="170"/>
      <c r="AM131" s="168"/>
      <c r="AN131" s="170"/>
      <c r="AO131" s="168"/>
      <c r="AP131" s="168"/>
      <c r="AQ131" s="168">
        <v>0</v>
      </c>
      <c r="AR131" s="171"/>
      <c r="AS131" s="194" t="s">
        <v>530</v>
      </c>
      <c r="AT131" s="194">
        <v>-50</v>
      </c>
    </row>
    <row r="132" spans="1:46" x14ac:dyDescent="0.3">
      <c r="A132" s="300"/>
      <c r="B132" s="294" t="s">
        <v>62</v>
      </c>
      <c r="C132" s="296" t="s">
        <v>63</v>
      </c>
      <c r="D132" s="18" t="s">
        <v>464</v>
      </c>
      <c r="E132" s="76">
        <v>9810592000178</v>
      </c>
      <c r="F132" s="12">
        <v>360</v>
      </c>
      <c r="G132" s="8" t="s">
        <v>16</v>
      </c>
      <c r="H132" s="26" t="s">
        <v>27</v>
      </c>
      <c r="I132" s="26" t="s">
        <v>30</v>
      </c>
      <c r="J132" s="26"/>
      <c r="K132" s="67">
        <v>17000</v>
      </c>
      <c r="L132" s="131">
        <f t="shared" si="18"/>
        <v>4420</v>
      </c>
      <c r="M132" s="157">
        <f t="shared" si="14"/>
        <v>0.12470588235294118</v>
      </c>
      <c r="N132" s="131">
        <f t="shared" si="19"/>
        <v>10200</v>
      </c>
      <c r="O132" s="132">
        <f t="shared" si="15"/>
        <v>0.46470588235294119</v>
      </c>
      <c r="P132" s="73">
        <v>2300</v>
      </c>
      <c r="Q132" s="56">
        <f t="shared" si="20"/>
        <v>100</v>
      </c>
      <c r="R132" s="48">
        <f t="shared" si="16"/>
        <v>2200</v>
      </c>
      <c r="S132" s="52">
        <v>1090</v>
      </c>
      <c r="T132" s="52">
        <v>637</v>
      </c>
      <c r="U132" s="52">
        <f t="shared" si="25"/>
        <v>1.7694444444444444</v>
      </c>
      <c r="V132" s="52">
        <v>308</v>
      </c>
      <c r="W132" s="52">
        <v>0</v>
      </c>
      <c r="X132" s="69">
        <v>165</v>
      </c>
      <c r="Y132" s="41" t="s">
        <v>152</v>
      </c>
      <c r="AA132" s="40" t="s">
        <v>62</v>
      </c>
      <c r="AB132" s="40">
        <v>8</v>
      </c>
    </row>
    <row r="133" spans="1:46" x14ac:dyDescent="0.3">
      <c r="A133" s="300"/>
      <c r="B133" s="294"/>
      <c r="C133" s="296"/>
      <c r="D133" s="18" t="s">
        <v>465</v>
      </c>
      <c r="E133" s="76">
        <v>9810592000176</v>
      </c>
      <c r="F133" s="12">
        <v>150</v>
      </c>
      <c r="G133" s="8" t="s">
        <v>16</v>
      </c>
      <c r="H133" s="26" t="s">
        <v>27</v>
      </c>
      <c r="I133" s="26" t="s">
        <v>35</v>
      </c>
      <c r="J133" s="26"/>
      <c r="K133" s="67">
        <v>16000</v>
      </c>
      <c r="L133" s="131">
        <f t="shared" si="18"/>
        <v>4160</v>
      </c>
      <c r="M133" s="157">
        <f t="shared" si="14"/>
        <v>0.1225</v>
      </c>
      <c r="N133" s="131">
        <f t="shared" si="19"/>
        <v>9600</v>
      </c>
      <c r="O133" s="132">
        <f t="shared" si="15"/>
        <v>0.46250000000000002</v>
      </c>
      <c r="P133" s="73">
        <v>2200</v>
      </c>
      <c r="Q133" s="56">
        <f t="shared" si="20"/>
        <v>183</v>
      </c>
      <c r="R133" s="48">
        <f t="shared" ref="R133:R160" si="28">S133+T133+V133+W133+X133</f>
        <v>2017</v>
      </c>
      <c r="S133" s="52">
        <v>980</v>
      </c>
      <c r="T133" s="52">
        <v>659</v>
      </c>
      <c r="U133" s="52">
        <f t="shared" si="25"/>
        <v>4.3933333333333335</v>
      </c>
      <c r="V133" s="52">
        <v>363</v>
      </c>
      <c r="W133" s="52">
        <v>0</v>
      </c>
      <c r="X133" s="53">
        <v>15</v>
      </c>
      <c r="Y133" s="41" t="s">
        <v>153</v>
      </c>
    </row>
    <row r="134" spans="1:46" x14ac:dyDescent="0.3">
      <c r="A134" s="300"/>
      <c r="B134" s="294"/>
      <c r="C134" s="296"/>
      <c r="D134" s="18" t="s">
        <v>466</v>
      </c>
      <c r="E134" s="76">
        <v>9810592000177</v>
      </c>
      <c r="F134" s="12">
        <v>360</v>
      </c>
      <c r="G134" s="8" t="s">
        <v>16</v>
      </c>
      <c r="H134" s="26" t="s">
        <v>27</v>
      </c>
      <c r="I134" s="26" t="s">
        <v>28</v>
      </c>
      <c r="J134" s="26"/>
      <c r="K134" s="67">
        <v>17000</v>
      </c>
      <c r="L134" s="131">
        <f t="shared" ref="L134:L161" si="29">K134*26%</f>
        <v>4420</v>
      </c>
      <c r="M134" s="157">
        <f t="shared" ref="M134:M161" si="30">(L134-P134)/K134</f>
        <v>0.12470588235294118</v>
      </c>
      <c r="N134" s="131">
        <f t="shared" ref="N134:N161" si="31">K134*60%</f>
        <v>10200</v>
      </c>
      <c r="O134" s="132">
        <f t="shared" ref="O134:O161" si="32">(N134-P134)/K134</f>
        <v>0.46470588235294119</v>
      </c>
      <c r="P134" s="73">
        <v>2300</v>
      </c>
      <c r="Q134" s="56">
        <f t="shared" ref="Q134:Q160" si="33">P134-R134</f>
        <v>100</v>
      </c>
      <c r="R134" s="48">
        <f t="shared" si="28"/>
        <v>2200</v>
      </c>
      <c r="S134" s="52">
        <v>1080</v>
      </c>
      <c r="T134" s="52">
        <v>647</v>
      </c>
      <c r="U134" s="52">
        <f t="shared" si="25"/>
        <v>1.7972222222222223</v>
      </c>
      <c r="V134" s="52">
        <v>308</v>
      </c>
      <c r="W134" s="52">
        <v>0</v>
      </c>
      <c r="X134" s="53">
        <v>165</v>
      </c>
      <c r="Y134" s="41" t="s">
        <v>152</v>
      </c>
    </row>
    <row r="135" spans="1:46" x14ac:dyDescent="0.3">
      <c r="A135" s="300"/>
      <c r="B135" s="294"/>
      <c r="C135" s="296"/>
      <c r="D135" s="18" t="s">
        <v>467</v>
      </c>
      <c r="E135" s="76">
        <v>9810592000180</v>
      </c>
      <c r="F135" s="12">
        <v>250</v>
      </c>
      <c r="G135" s="8" t="s">
        <v>16</v>
      </c>
      <c r="H135" s="26" t="s">
        <v>27</v>
      </c>
      <c r="I135" s="26" t="s">
        <v>163</v>
      </c>
      <c r="J135" s="26"/>
      <c r="K135" s="67">
        <v>14000</v>
      </c>
      <c r="L135" s="131">
        <f t="shared" si="29"/>
        <v>3640</v>
      </c>
      <c r="M135" s="157">
        <f t="shared" si="30"/>
        <v>0.11714285714285715</v>
      </c>
      <c r="N135" s="131">
        <f t="shared" si="31"/>
        <v>8400</v>
      </c>
      <c r="O135" s="132">
        <f t="shared" si="32"/>
        <v>0.45714285714285713</v>
      </c>
      <c r="P135" s="73">
        <v>2000</v>
      </c>
      <c r="Q135" s="56">
        <f t="shared" si="33"/>
        <v>174</v>
      </c>
      <c r="R135" s="48">
        <f t="shared" si="28"/>
        <v>1826</v>
      </c>
      <c r="S135" s="52">
        <v>1050</v>
      </c>
      <c r="T135" s="52">
        <v>633</v>
      </c>
      <c r="U135" s="52">
        <f t="shared" si="25"/>
        <v>2.532</v>
      </c>
      <c r="V135" s="52">
        <v>0</v>
      </c>
      <c r="W135" s="52">
        <v>0</v>
      </c>
      <c r="X135" s="53">
        <v>143</v>
      </c>
      <c r="Y135" s="41" t="s">
        <v>154</v>
      </c>
    </row>
    <row r="136" spans="1:46" x14ac:dyDescent="0.3">
      <c r="A136" s="300"/>
      <c r="B136" s="294"/>
      <c r="C136" s="296"/>
      <c r="D136" s="18" t="s">
        <v>468</v>
      </c>
      <c r="E136" s="76">
        <v>9810592000179</v>
      </c>
      <c r="F136" s="12">
        <v>250</v>
      </c>
      <c r="G136" s="8" t="s">
        <v>16</v>
      </c>
      <c r="H136" s="26" t="s">
        <v>27</v>
      </c>
      <c r="I136" s="26" t="s">
        <v>163</v>
      </c>
      <c r="J136" s="26"/>
      <c r="K136" s="67">
        <v>14000</v>
      </c>
      <c r="L136" s="131">
        <f t="shared" si="29"/>
        <v>3640</v>
      </c>
      <c r="M136" s="157">
        <f t="shared" si="30"/>
        <v>0.11714285714285715</v>
      </c>
      <c r="N136" s="131">
        <f t="shared" si="31"/>
        <v>8400</v>
      </c>
      <c r="O136" s="132">
        <f t="shared" si="32"/>
        <v>0.45714285714285713</v>
      </c>
      <c r="P136" s="73">
        <v>2000</v>
      </c>
      <c r="Q136" s="56">
        <f t="shared" si="33"/>
        <v>174</v>
      </c>
      <c r="R136" s="48">
        <f t="shared" si="28"/>
        <v>1826</v>
      </c>
      <c r="S136" s="52">
        <v>1050</v>
      </c>
      <c r="T136" s="52">
        <v>633</v>
      </c>
      <c r="U136" s="52">
        <f t="shared" si="25"/>
        <v>2.532</v>
      </c>
      <c r="V136" s="52">
        <v>0</v>
      </c>
      <c r="W136" s="52">
        <v>0</v>
      </c>
      <c r="X136" s="53">
        <v>143</v>
      </c>
      <c r="Y136" s="41" t="s">
        <v>154</v>
      </c>
    </row>
    <row r="137" spans="1:46" x14ac:dyDescent="0.3">
      <c r="A137" s="300"/>
      <c r="B137" s="294"/>
      <c r="C137" s="295" t="s">
        <v>64</v>
      </c>
      <c r="D137" s="7" t="s">
        <v>469</v>
      </c>
      <c r="E137" s="76">
        <v>9810592000208</v>
      </c>
      <c r="F137" s="12">
        <v>480</v>
      </c>
      <c r="G137" s="8" t="s">
        <v>8</v>
      </c>
      <c r="H137" s="26" t="s">
        <v>38</v>
      </c>
      <c r="I137" s="26" t="s">
        <v>31</v>
      </c>
      <c r="J137" s="26"/>
      <c r="K137" s="67">
        <v>17000</v>
      </c>
      <c r="L137" s="131">
        <f t="shared" si="29"/>
        <v>4420</v>
      </c>
      <c r="M137" s="157">
        <f t="shared" si="30"/>
        <v>0.06</v>
      </c>
      <c r="N137" s="131">
        <f t="shared" si="31"/>
        <v>10200</v>
      </c>
      <c r="O137" s="132">
        <f t="shared" si="32"/>
        <v>0.4</v>
      </c>
      <c r="P137" s="73">
        <v>3400</v>
      </c>
      <c r="Q137" s="56">
        <f t="shared" si="33"/>
        <v>300</v>
      </c>
      <c r="R137" s="48">
        <f t="shared" si="28"/>
        <v>3100</v>
      </c>
      <c r="S137" s="52">
        <v>1500</v>
      </c>
      <c r="T137" s="52">
        <v>953</v>
      </c>
      <c r="U137" s="52">
        <f t="shared" si="25"/>
        <v>1.9854166666666666</v>
      </c>
      <c r="V137" s="52">
        <v>449</v>
      </c>
      <c r="W137" s="52">
        <v>0</v>
      </c>
      <c r="X137" s="53">
        <v>198</v>
      </c>
      <c r="Y137" s="41" t="s">
        <v>131</v>
      </c>
      <c r="AC137" s="168">
        <f t="shared" ref="AC137:AC141" si="34">SUM(AD137:AR137)</f>
        <v>3099.8</v>
      </c>
      <c r="AD137" s="169">
        <v>1760</v>
      </c>
      <c r="AE137" s="196">
        <v>583</v>
      </c>
      <c r="AF137" s="170">
        <v>448.8</v>
      </c>
      <c r="AG137" s="168">
        <v>0</v>
      </c>
      <c r="AH137" s="168"/>
      <c r="AI137" s="168"/>
      <c r="AJ137" s="168"/>
      <c r="AK137" s="170"/>
      <c r="AL137" s="170">
        <f>99+99</f>
        <v>198</v>
      </c>
      <c r="AM137" s="168"/>
      <c r="AN137" s="170"/>
      <c r="AO137" s="168"/>
      <c r="AP137" s="168"/>
      <c r="AQ137" s="168">
        <v>0</v>
      </c>
      <c r="AR137" s="171">
        <v>110</v>
      </c>
      <c r="AS137" s="194" t="s">
        <v>533</v>
      </c>
      <c r="AT137" s="194">
        <v>-33</v>
      </c>
    </row>
    <row r="138" spans="1:46" x14ac:dyDescent="0.3">
      <c r="A138" s="300"/>
      <c r="B138" s="294"/>
      <c r="C138" s="295"/>
      <c r="D138" s="7" t="s">
        <v>470</v>
      </c>
      <c r="E138" s="76">
        <v>9810592000210</v>
      </c>
      <c r="F138" s="12">
        <v>75</v>
      </c>
      <c r="G138" s="8" t="s">
        <v>16</v>
      </c>
      <c r="H138" s="26" t="s">
        <v>38</v>
      </c>
      <c r="I138" s="26" t="s">
        <v>35</v>
      </c>
      <c r="J138" s="26" t="s">
        <v>77</v>
      </c>
      <c r="K138" s="67">
        <v>20000</v>
      </c>
      <c r="L138" s="131">
        <f t="shared" si="29"/>
        <v>5200</v>
      </c>
      <c r="M138" s="157">
        <f t="shared" si="30"/>
        <v>8.5000000000000006E-2</v>
      </c>
      <c r="N138" s="131">
        <f t="shared" si="31"/>
        <v>12000</v>
      </c>
      <c r="O138" s="132">
        <f t="shared" si="32"/>
        <v>0.42499999999999999</v>
      </c>
      <c r="P138" s="73">
        <v>3500</v>
      </c>
      <c r="Q138" s="56">
        <f t="shared" si="33"/>
        <v>562</v>
      </c>
      <c r="R138" s="48">
        <f t="shared" si="28"/>
        <v>2938</v>
      </c>
      <c r="S138" s="52">
        <v>820</v>
      </c>
      <c r="T138" s="52">
        <v>588</v>
      </c>
      <c r="U138" s="52">
        <f t="shared" si="25"/>
        <v>7.84</v>
      </c>
      <c r="V138" s="52">
        <v>1045</v>
      </c>
      <c r="W138" s="52">
        <v>385</v>
      </c>
      <c r="X138" s="52">
        <v>100</v>
      </c>
      <c r="Y138" s="41" t="s">
        <v>155</v>
      </c>
      <c r="AC138" s="168">
        <f t="shared" si="34"/>
        <v>2938</v>
      </c>
      <c r="AD138" s="168">
        <v>588</v>
      </c>
      <c r="AE138" s="172">
        <v>820</v>
      </c>
      <c r="AF138" s="168">
        <v>1045</v>
      </c>
      <c r="AG138" s="168"/>
      <c r="AH138" s="168"/>
      <c r="AI138" s="168"/>
      <c r="AJ138" s="168"/>
      <c r="AK138" s="170">
        <v>385</v>
      </c>
      <c r="AL138" s="170"/>
      <c r="AM138" s="168"/>
      <c r="AN138" s="170"/>
      <c r="AO138" s="168"/>
      <c r="AP138" s="168"/>
      <c r="AQ138" s="168">
        <v>0</v>
      </c>
      <c r="AR138" s="171">
        <v>100</v>
      </c>
      <c r="AS138" s="194"/>
      <c r="AT138" s="194"/>
    </row>
    <row r="139" spans="1:46" x14ac:dyDescent="0.3">
      <c r="A139" s="300"/>
      <c r="B139" s="294"/>
      <c r="C139" s="295"/>
      <c r="D139" s="7" t="s">
        <v>471</v>
      </c>
      <c r="E139" s="76">
        <v>9810592000212</v>
      </c>
      <c r="F139" s="12">
        <v>500</v>
      </c>
      <c r="G139" s="8" t="s">
        <v>16</v>
      </c>
      <c r="H139" s="26" t="s">
        <v>38</v>
      </c>
      <c r="I139" s="26" t="s">
        <v>30</v>
      </c>
      <c r="J139" s="26"/>
      <c r="K139" s="67">
        <v>19000</v>
      </c>
      <c r="L139" s="131">
        <f t="shared" si="29"/>
        <v>4940</v>
      </c>
      <c r="M139" s="157">
        <f t="shared" si="30"/>
        <v>6.5263157894736842E-2</v>
      </c>
      <c r="N139" s="131">
        <f t="shared" si="31"/>
        <v>11400</v>
      </c>
      <c r="O139" s="132">
        <f t="shared" si="32"/>
        <v>0.40526315789473683</v>
      </c>
      <c r="P139" s="73">
        <v>3700</v>
      </c>
      <c r="Q139" s="56">
        <f t="shared" si="33"/>
        <v>413</v>
      </c>
      <c r="R139" s="48">
        <f t="shared" si="28"/>
        <v>3287</v>
      </c>
      <c r="S139" s="52">
        <v>1500</v>
      </c>
      <c r="T139" s="52">
        <v>973</v>
      </c>
      <c r="U139" s="52">
        <f t="shared" si="25"/>
        <v>1.946</v>
      </c>
      <c r="V139" s="52">
        <v>594</v>
      </c>
      <c r="W139" s="52">
        <v>0</v>
      </c>
      <c r="X139" s="57">
        <v>220</v>
      </c>
      <c r="Y139" s="41" t="s">
        <v>156</v>
      </c>
      <c r="AC139" s="168">
        <f t="shared" si="34"/>
        <v>3287</v>
      </c>
      <c r="AD139" s="168">
        <v>973</v>
      </c>
      <c r="AE139" s="195">
        <v>1500</v>
      </c>
      <c r="AF139" s="168">
        <v>594</v>
      </c>
      <c r="AG139" s="168"/>
      <c r="AH139" s="168"/>
      <c r="AI139" s="168"/>
      <c r="AJ139" s="168"/>
      <c r="AK139" s="170"/>
      <c r="AL139" s="170">
        <v>220</v>
      </c>
      <c r="AM139" s="168"/>
      <c r="AN139" s="170"/>
      <c r="AO139" s="168"/>
      <c r="AP139" s="168"/>
      <c r="AQ139" s="168">
        <v>0</v>
      </c>
      <c r="AR139" s="171"/>
      <c r="AS139" s="194" t="s">
        <v>534</v>
      </c>
      <c r="AT139" s="194">
        <v>-70</v>
      </c>
    </row>
    <row r="140" spans="1:46" x14ac:dyDescent="0.3">
      <c r="A140" s="300"/>
      <c r="B140" s="294" t="s">
        <v>65</v>
      </c>
      <c r="C140" s="295" t="s">
        <v>66</v>
      </c>
      <c r="D140" s="7" t="s">
        <v>472</v>
      </c>
      <c r="E140" s="76">
        <v>9810592000183</v>
      </c>
      <c r="F140" s="16">
        <v>100</v>
      </c>
      <c r="G140" s="8" t="s">
        <v>8</v>
      </c>
      <c r="H140" s="26" t="s">
        <v>27</v>
      </c>
      <c r="I140" s="26" t="s">
        <v>46</v>
      </c>
      <c r="J140" s="26" t="s">
        <v>76</v>
      </c>
      <c r="K140" s="67">
        <v>20000</v>
      </c>
      <c r="L140" s="131">
        <f t="shared" si="29"/>
        <v>5200</v>
      </c>
      <c r="M140" s="157">
        <f t="shared" si="30"/>
        <v>0.04</v>
      </c>
      <c r="N140" s="131">
        <f t="shared" si="31"/>
        <v>12000</v>
      </c>
      <c r="O140" s="132">
        <f t="shared" si="32"/>
        <v>0.38</v>
      </c>
      <c r="P140" s="73">
        <v>4400</v>
      </c>
      <c r="Q140" s="56">
        <f t="shared" si="33"/>
        <v>149</v>
      </c>
      <c r="R140" s="48">
        <f t="shared" si="28"/>
        <v>4251</v>
      </c>
      <c r="S140" s="52">
        <v>2350</v>
      </c>
      <c r="T140" s="52">
        <v>1423</v>
      </c>
      <c r="U140" s="52">
        <f t="shared" si="25"/>
        <v>14.23</v>
      </c>
      <c r="V140" s="52">
        <v>363</v>
      </c>
      <c r="W140" s="52">
        <v>115</v>
      </c>
      <c r="X140" s="52"/>
      <c r="Y140" s="41" t="s">
        <v>142</v>
      </c>
      <c r="AA140" s="40" t="s">
        <v>65</v>
      </c>
      <c r="AB140" s="40">
        <v>2</v>
      </c>
      <c r="AC140" s="168">
        <f t="shared" si="34"/>
        <v>4251</v>
      </c>
      <c r="AD140" s="168">
        <v>1423</v>
      </c>
      <c r="AE140" s="168">
        <v>2350</v>
      </c>
      <c r="AF140" s="168">
        <v>363</v>
      </c>
      <c r="AG140" s="168"/>
      <c r="AH140" s="168"/>
      <c r="AI140" s="168"/>
      <c r="AJ140" s="168"/>
      <c r="AK140" s="170">
        <v>115</v>
      </c>
      <c r="AL140" s="170"/>
      <c r="AM140" s="168"/>
      <c r="AN140" s="170"/>
      <c r="AO140" s="168"/>
      <c r="AP140" s="168"/>
      <c r="AQ140" s="168">
        <f>X140/1.1</f>
        <v>0</v>
      </c>
      <c r="AR140" s="171"/>
      <c r="AS140" s="194"/>
      <c r="AT140" s="194"/>
    </row>
    <row r="141" spans="1:46" x14ac:dyDescent="0.3">
      <c r="A141" s="300"/>
      <c r="B141" s="294"/>
      <c r="C141" s="295"/>
      <c r="D141" s="7" t="s">
        <v>473</v>
      </c>
      <c r="E141" s="76">
        <v>9810592000182</v>
      </c>
      <c r="F141" s="16">
        <v>100</v>
      </c>
      <c r="G141" s="8" t="s">
        <v>8</v>
      </c>
      <c r="H141" s="26" t="s">
        <v>27</v>
      </c>
      <c r="I141" s="26" t="s">
        <v>46</v>
      </c>
      <c r="J141" s="26" t="s">
        <v>76</v>
      </c>
      <c r="K141" s="67">
        <v>15000</v>
      </c>
      <c r="L141" s="131">
        <f t="shared" si="29"/>
        <v>3900</v>
      </c>
      <c r="M141" s="157">
        <f t="shared" si="30"/>
        <v>7.3333333333333334E-2</v>
      </c>
      <c r="N141" s="131">
        <f t="shared" si="31"/>
        <v>9000</v>
      </c>
      <c r="O141" s="132">
        <f t="shared" si="32"/>
        <v>0.41333333333333333</v>
      </c>
      <c r="P141" s="73">
        <v>2800</v>
      </c>
      <c r="Q141" s="56">
        <f t="shared" si="33"/>
        <v>122</v>
      </c>
      <c r="R141" s="48">
        <f t="shared" si="28"/>
        <v>2678</v>
      </c>
      <c r="S141" s="52">
        <v>1430</v>
      </c>
      <c r="T141" s="52">
        <v>770</v>
      </c>
      <c r="U141" s="52">
        <f t="shared" si="25"/>
        <v>7.7</v>
      </c>
      <c r="V141" s="52">
        <v>363</v>
      </c>
      <c r="W141" s="52">
        <v>115</v>
      </c>
      <c r="X141" s="52"/>
      <c r="Y141" s="41" t="s">
        <v>142</v>
      </c>
      <c r="AC141" s="168">
        <f t="shared" si="34"/>
        <v>2678</v>
      </c>
      <c r="AD141" s="168">
        <v>770</v>
      </c>
      <c r="AE141" s="168">
        <v>1430</v>
      </c>
      <c r="AF141" s="168">
        <v>363</v>
      </c>
      <c r="AG141" s="168"/>
      <c r="AH141" s="168"/>
      <c r="AI141" s="168"/>
      <c r="AJ141" s="168"/>
      <c r="AK141" s="170">
        <v>115</v>
      </c>
      <c r="AL141" s="170"/>
      <c r="AM141" s="168"/>
      <c r="AN141" s="170"/>
      <c r="AO141" s="168"/>
      <c r="AP141" s="168"/>
      <c r="AQ141" s="168">
        <f>X141/1.1</f>
        <v>0</v>
      </c>
      <c r="AR141" s="171"/>
      <c r="AS141" s="194"/>
      <c r="AT141" s="194"/>
    </row>
    <row r="142" spans="1:46" x14ac:dyDescent="0.3">
      <c r="A142" s="300"/>
      <c r="B142" s="294" t="s">
        <v>191</v>
      </c>
      <c r="C142" s="294" t="s">
        <v>192</v>
      </c>
      <c r="D142" s="23" t="s">
        <v>474</v>
      </c>
      <c r="E142" s="151">
        <v>9810592000191</v>
      </c>
      <c r="F142" s="27">
        <v>100</v>
      </c>
      <c r="G142" s="16" t="s">
        <v>179</v>
      </c>
      <c r="H142" s="28" t="s">
        <v>38</v>
      </c>
      <c r="I142" s="28"/>
      <c r="J142" s="28" t="s">
        <v>295</v>
      </c>
      <c r="K142" s="67">
        <v>21000</v>
      </c>
      <c r="L142" s="131">
        <f t="shared" si="29"/>
        <v>5460</v>
      </c>
      <c r="M142" s="157">
        <f t="shared" si="30"/>
        <v>0.18857142857142858</v>
      </c>
      <c r="N142" s="131">
        <f t="shared" si="31"/>
        <v>12600</v>
      </c>
      <c r="O142" s="132">
        <f t="shared" si="32"/>
        <v>0.52857142857142858</v>
      </c>
      <c r="P142" s="73">
        <v>1500</v>
      </c>
      <c r="Q142" s="56">
        <f>P142-R142</f>
        <v>1258</v>
      </c>
      <c r="R142" s="49">
        <f>S142+T142+V142+W142+X142</f>
        <v>242.00000000000003</v>
      </c>
      <c r="S142" s="55"/>
      <c r="T142" s="56"/>
      <c r="U142" s="56"/>
      <c r="V142" s="56"/>
      <c r="W142" s="56">
        <f>220*1.1</f>
        <v>242.00000000000003</v>
      </c>
      <c r="X142" s="56"/>
      <c r="Y142" s="36" t="s">
        <v>184</v>
      </c>
      <c r="AA142" s="40" t="s">
        <v>191</v>
      </c>
      <c r="AB142" s="40">
        <v>2</v>
      </c>
    </row>
    <row r="143" spans="1:46" x14ac:dyDescent="0.3">
      <c r="A143" s="300"/>
      <c r="B143" s="294"/>
      <c r="C143" s="294"/>
      <c r="D143" s="23" t="s">
        <v>475</v>
      </c>
      <c r="E143" s="151">
        <v>9810592000190</v>
      </c>
      <c r="F143" s="27">
        <v>30</v>
      </c>
      <c r="G143" s="16" t="s">
        <v>198</v>
      </c>
      <c r="H143" s="28" t="s">
        <v>38</v>
      </c>
      <c r="I143" s="28"/>
      <c r="J143" s="28" t="s">
        <v>295</v>
      </c>
      <c r="K143" s="67">
        <v>35000</v>
      </c>
      <c r="L143" s="131">
        <f t="shared" si="29"/>
        <v>9100</v>
      </c>
      <c r="M143" s="157">
        <f t="shared" si="30"/>
        <v>0.21714285714285714</v>
      </c>
      <c r="N143" s="131">
        <f t="shared" si="31"/>
        <v>21000</v>
      </c>
      <c r="O143" s="132">
        <f t="shared" si="32"/>
        <v>0.55714285714285716</v>
      </c>
      <c r="P143" s="73">
        <v>1500</v>
      </c>
      <c r="Q143" s="56">
        <f>P143-R143</f>
        <v>1329</v>
      </c>
      <c r="R143" s="49">
        <f>S143+T143+V143+W143+X143</f>
        <v>171</v>
      </c>
      <c r="S143" s="55"/>
      <c r="T143" s="56"/>
      <c r="U143" s="56"/>
      <c r="V143" s="56"/>
      <c r="W143" s="56">
        <v>171</v>
      </c>
      <c r="X143" s="56"/>
      <c r="Y143" s="36" t="s">
        <v>184</v>
      </c>
    </row>
    <row r="144" spans="1:46" ht="10.9" customHeight="1" x14ac:dyDescent="0.3">
      <c r="A144" s="300"/>
      <c r="B144" s="291" t="s">
        <v>87</v>
      </c>
      <c r="C144" s="295" t="s">
        <v>87</v>
      </c>
      <c r="D144" s="7" t="s">
        <v>476</v>
      </c>
      <c r="E144" s="76">
        <v>9810592000107</v>
      </c>
      <c r="F144" s="16">
        <v>50</v>
      </c>
      <c r="G144" s="8" t="s">
        <v>8</v>
      </c>
      <c r="H144" s="26" t="s">
        <v>12</v>
      </c>
      <c r="I144" s="26" t="s">
        <v>28</v>
      </c>
      <c r="J144" s="26" t="s">
        <v>76</v>
      </c>
      <c r="K144" s="67">
        <v>35000</v>
      </c>
      <c r="L144" s="131">
        <f t="shared" si="29"/>
        <v>9100</v>
      </c>
      <c r="M144" s="157">
        <f t="shared" si="30"/>
        <v>0.18857142857142858</v>
      </c>
      <c r="N144" s="131">
        <f t="shared" si="31"/>
        <v>21000</v>
      </c>
      <c r="O144" s="132">
        <f t="shared" si="32"/>
        <v>0.52857142857142858</v>
      </c>
      <c r="P144" s="73">
        <v>2500</v>
      </c>
      <c r="Q144" s="56">
        <f t="shared" si="33"/>
        <v>177.69999999999982</v>
      </c>
      <c r="R144" s="48">
        <f t="shared" si="28"/>
        <v>2322.3000000000002</v>
      </c>
      <c r="S144" s="52">
        <v>600</v>
      </c>
      <c r="T144" s="52">
        <v>410</v>
      </c>
      <c r="U144" s="52">
        <f>T144/F144</f>
        <v>8.1999999999999993</v>
      </c>
      <c r="V144" s="52">
        <v>528</v>
      </c>
      <c r="W144" s="52">
        <v>638</v>
      </c>
      <c r="X144" s="53">
        <f>133*1.1</f>
        <v>146.30000000000001</v>
      </c>
      <c r="Y144" s="42" t="s">
        <v>177</v>
      </c>
      <c r="AA144" s="40" t="s">
        <v>87</v>
      </c>
      <c r="AB144" s="40">
        <v>4</v>
      </c>
    </row>
    <row r="145" spans="1:46" x14ac:dyDescent="0.3">
      <c r="A145" s="300"/>
      <c r="B145" s="291"/>
      <c r="C145" s="295"/>
      <c r="D145" s="7" t="s">
        <v>477</v>
      </c>
      <c r="E145" s="76">
        <v>9810592000124</v>
      </c>
      <c r="F145" s="12">
        <v>70</v>
      </c>
      <c r="G145" s="8" t="s">
        <v>8</v>
      </c>
      <c r="H145" s="26" t="s">
        <v>27</v>
      </c>
      <c r="I145" s="26" t="s">
        <v>32</v>
      </c>
      <c r="J145" s="26" t="s">
        <v>76</v>
      </c>
      <c r="K145" s="67">
        <v>20000</v>
      </c>
      <c r="L145" s="131">
        <f t="shared" si="29"/>
        <v>5200</v>
      </c>
      <c r="M145" s="157">
        <f t="shared" si="30"/>
        <v>0.13</v>
      </c>
      <c r="N145" s="131">
        <f t="shared" si="31"/>
        <v>12000</v>
      </c>
      <c r="O145" s="132">
        <f t="shared" si="32"/>
        <v>0.47</v>
      </c>
      <c r="P145" s="73">
        <v>2600</v>
      </c>
      <c r="Q145" s="56">
        <f t="shared" si="33"/>
        <v>165</v>
      </c>
      <c r="R145" s="48">
        <f t="shared" si="28"/>
        <v>2435</v>
      </c>
      <c r="S145" s="52">
        <v>840</v>
      </c>
      <c r="T145" s="52">
        <v>480</v>
      </c>
      <c r="U145" s="52">
        <f>T145/F145</f>
        <v>6.8571428571428568</v>
      </c>
      <c r="V145" s="52">
        <v>787</v>
      </c>
      <c r="W145" s="52">
        <v>218</v>
      </c>
      <c r="X145" s="53">
        <v>110</v>
      </c>
      <c r="Y145" s="43" t="s">
        <v>159</v>
      </c>
    </row>
    <row r="146" spans="1:46" x14ac:dyDescent="0.3">
      <c r="A146" s="300"/>
      <c r="B146" s="291"/>
      <c r="C146" s="295"/>
      <c r="D146" s="7" t="s">
        <v>478</v>
      </c>
      <c r="E146" s="76">
        <v>9810592000123</v>
      </c>
      <c r="F146" s="16">
        <v>50</v>
      </c>
      <c r="G146" s="8" t="s">
        <v>8</v>
      </c>
      <c r="H146" s="26" t="s">
        <v>27</v>
      </c>
      <c r="I146" s="26" t="s">
        <v>33</v>
      </c>
      <c r="J146" s="26" t="s">
        <v>77</v>
      </c>
      <c r="K146" s="67">
        <v>20000</v>
      </c>
      <c r="L146" s="131">
        <f t="shared" si="29"/>
        <v>5200</v>
      </c>
      <c r="M146" s="157">
        <f t="shared" si="30"/>
        <v>9.5000000000000001E-2</v>
      </c>
      <c r="N146" s="131">
        <f t="shared" si="31"/>
        <v>12000</v>
      </c>
      <c r="O146" s="132">
        <f t="shared" si="32"/>
        <v>0.435</v>
      </c>
      <c r="P146" s="73">
        <v>3300</v>
      </c>
      <c r="Q146" s="56">
        <f t="shared" si="33"/>
        <v>164</v>
      </c>
      <c r="R146" s="48">
        <f t="shared" si="28"/>
        <v>3136</v>
      </c>
      <c r="S146" s="52">
        <v>740</v>
      </c>
      <c r="T146" s="52">
        <v>470</v>
      </c>
      <c r="U146" s="52">
        <f>T146/F146</f>
        <v>9.4</v>
      </c>
      <c r="V146" s="52">
        <v>1403</v>
      </c>
      <c r="W146" s="52">
        <f>396+127</f>
        <v>523</v>
      </c>
      <c r="X146" s="52"/>
      <c r="Y146" s="41" t="s">
        <v>142</v>
      </c>
    </row>
    <row r="147" spans="1:46" x14ac:dyDescent="0.3">
      <c r="A147" s="300"/>
      <c r="B147" s="291"/>
      <c r="C147" s="295"/>
      <c r="D147" s="7" t="s">
        <v>479</v>
      </c>
      <c r="E147" s="76">
        <v>9810592000122</v>
      </c>
      <c r="F147" s="12">
        <v>50</v>
      </c>
      <c r="G147" s="8" t="s">
        <v>8</v>
      </c>
      <c r="H147" s="26" t="s">
        <v>12</v>
      </c>
      <c r="I147" s="26" t="s">
        <v>33</v>
      </c>
      <c r="J147" s="26" t="s">
        <v>78</v>
      </c>
      <c r="K147" s="67">
        <v>20000</v>
      </c>
      <c r="L147" s="131">
        <f t="shared" si="29"/>
        <v>5200</v>
      </c>
      <c r="M147" s="157">
        <f t="shared" si="30"/>
        <v>8.5000000000000006E-2</v>
      </c>
      <c r="N147" s="131">
        <f t="shared" si="31"/>
        <v>12000</v>
      </c>
      <c r="O147" s="132">
        <f t="shared" si="32"/>
        <v>0.42499999999999999</v>
      </c>
      <c r="P147" s="73">
        <v>3500</v>
      </c>
      <c r="Q147" s="56">
        <f t="shared" si="33"/>
        <v>484</v>
      </c>
      <c r="R147" s="48">
        <f t="shared" si="28"/>
        <v>3016</v>
      </c>
      <c r="S147" s="52">
        <v>300</v>
      </c>
      <c r="T147" s="52">
        <v>840</v>
      </c>
      <c r="U147" s="52">
        <f>T147/F147</f>
        <v>16.8</v>
      </c>
      <c r="V147" s="52">
        <v>1436</v>
      </c>
      <c r="W147" s="52">
        <v>440</v>
      </c>
      <c r="X147" s="52"/>
      <c r="Y147" s="43" t="s">
        <v>157</v>
      </c>
      <c r="AC147" s="168">
        <f t="shared" ref="AC147:AC153" si="35">SUM(AD147:AR147)</f>
        <v>3016</v>
      </c>
      <c r="AD147" s="172">
        <v>840</v>
      </c>
      <c r="AE147" s="168">
        <v>300</v>
      </c>
      <c r="AF147" s="168">
        <v>1436</v>
      </c>
      <c r="AG147" s="168">
        <v>0</v>
      </c>
      <c r="AH147" s="168"/>
      <c r="AI147" s="168"/>
      <c r="AJ147" s="168"/>
      <c r="AK147" s="197">
        <v>440</v>
      </c>
      <c r="AL147" s="170"/>
      <c r="AM147" s="168"/>
      <c r="AN147" s="170"/>
      <c r="AO147" s="168"/>
      <c r="AP147" s="168"/>
      <c r="AQ147" s="168">
        <f>X147/1.1</f>
        <v>0</v>
      </c>
      <c r="AR147" s="171"/>
      <c r="AS147" s="194" t="s">
        <v>535</v>
      </c>
      <c r="AT147" s="194">
        <v>-22</v>
      </c>
    </row>
    <row r="148" spans="1:46" ht="10.9" customHeight="1" x14ac:dyDescent="0.3">
      <c r="A148" s="291" t="s">
        <v>188</v>
      </c>
      <c r="B148" s="291" t="s">
        <v>90</v>
      </c>
      <c r="C148" s="296" t="s">
        <v>67</v>
      </c>
      <c r="D148" s="19" t="s">
        <v>480</v>
      </c>
      <c r="E148" s="150">
        <v>9810592000402</v>
      </c>
      <c r="F148" s="12">
        <v>60</v>
      </c>
      <c r="G148" s="8" t="s">
        <v>199</v>
      </c>
      <c r="H148" s="26" t="s">
        <v>69</v>
      </c>
      <c r="I148" s="46" t="s">
        <v>160</v>
      </c>
      <c r="J148" s="46" t="s">
        <v>79</v>
      </c>
      <c r="K148" s="67">
        <v>20000</v>
      </c>
      <c r="L148" s="131">
        <f t="shared" si="29"/>
        <v>5200</v>
      </c>
      <c r="M148" s="157">
        <f t="shared" si="30"/>
        <v>7.0000000000000007E-2</v>
      </c>
      <c r="N148" s="131">
        <f t="shared" si="31"/>
        <v>12000</v>
      </c>
      <c r="O148" s="132">
        <f t="shared" si="32"/>
        <v>0.41</v>
      </c>
      <c r="P148" s="73">
        <v>3800</v>
      </c>
      <c r="Q148" s="56">
        <f t="shared" si="33"/>
        <v>220</v>
      </c>
      <c r="R148" s="112">
        <f t="shared" si="28"/>
        <v>3580</v>
      </c>
      <c r="S148" s="57">
        <v>693</v>
      </c>
      <c r="T148" s="57">
        <v>1716.0000000000002</v>
      </c>
      <c r="U148" s="52">
        <f t="shared" ref="U148:U157" si="36">T148/F148</f>
        <v>28.600000000000005</v>
      </c>
      <c r="V148" s="58">
        <f>750*1.1+50*1.1+10*1.1</f>
        <v>891.00000000000011</v>
      </c>
      <c r="W148" s="58">
        <v>200</v>
      </c>
      <c r="X148" s="58">
        <v>80</v>
      </c>
      <c r="Y148" s="41" t="s">
        <v>168</v>
      </c>
      <c r="Z148" s="40" t="s">
        <v>272</v>
      </c>
      <c r="AA148" s="40" t="s">
        <v>188</v>
      </c>
      <c r="AB148" s="40">
        <v>11</v>
      </c>
      <c r="AC148" s="168">
        <f t="shared" si="35"/>
        <v>3610</v>
      </c>
      <c r="AD148" s="168">
        <v>1716</v>
      </c>
      <c r="AE148" s="168">
        <v>330</v>
      </c>
      <c r="AF148" s="173">
        <f>(750+50)*1.1</f>
        <v>880.00000000000011</v>
      </c>
      <c r="AG148" s="168"/>
      <c r="AH148" s="168"/>
      <c r="AI148" s="168"/>
      <c r="AJ148" s="168"/>
      <c r="AK148" s="176">
        <v>200</v>
      </c>
      <c r="AL148" s="170"/>
      <c r="AM148" s="169">
        <v>80</v>
      </c>
      <c r="AN148" s="170"/>
      <c r="AO148" s="168"/>
      <c r="AP148" s="168"/>
      <c r="AQ148" s="168">
        <v>0</v>
      </c>
      <c r="AR148" s="171">
        <f>44+360</f>
        <v>404</v>
      </c>
      <c r="AS148" s="194"/>
      <c r="AT148" s="194"/>
    </row>
    <row r="149" spans="1:46" x14ac:dyDescent="0.3">
      <c r="A149" s="291"/>
      <c r="B149" s="291"/>
      <c r="C149" s="296"/>
      <c r="D149" s="25" t="s">
        <v>481</v>
      </c>
      <c r="E149" s="76">
        <v>9810592000257</v>
      </c>
      <c r="F149" s="12">
        <v>90</v>
      </c>
      <c r="G149" s="8" t="s">
        <v>72</v>
      </c>
      <c r="H149" s="26" t="s">
        <v>68</v>
      </c>
      <c r="I149" s="26" t="s">
        <v>160</v>
      </c>
      <c r="J149" s="26" t="s">
        <v>76</v>
      </c>
      <c r="K149" s="67">
        <v>20000</v>
      </c>
      <c r="L149" s="131">
        <f t="shared" si="29"/>
        <v>5200</v>
      </c>
      <c r="M149" s="157">
        <f t="shared" si="30"/>
        <v>0.06</v>
      </c>
      <c r="N149" s="131">
        <f t="shared" si="31"/>
        <v>12000</v>
      </c>
      <c r="O149" s="132">
        <f t="shared" si="32"/>
        <v>0.4</v>
      </c>
      <c r="P149" s="73">
        <v>4000</v>
      </c>
      <c r="Q149" s="56">
        <f t="shared" si="33"/>
        <v>480</v>
      </c>
      <c r="R149" s="112">
        <f t="shared" si="28"/>
        <v>3520</v>
      </c>
      <c r="S149" s="57">
        <v>693</v>
      </c>
      <c r="T149" s="57">
        <v>1716.0000000000002</v>
      </c>
      <c r="U149" s="52">
        <f t="shared" si="36"/>
        <v>19.06666666666667</v>
      </c>
      <c r="V149" s="57">
        <v>891.00000000000011</v>
      </c>
      <c r="W149" s="52">
        <v>154</v>
      </c>
      <c r="X149" s="53">
        <v>66</v>
      </c>
      <c r="Y149" s="41" t="s">
        <v>142</v>
      </c>
      <c r="Z149" s="40" t="s">
        <v>272</v>
      </c>
      <c r="AC149" s="168">
        <f t="shared" si="35"/>
        <v>3550</v>
      </c>
      <c r="AD149" s="168">
        <v>1716</v>
      </c>
      <c r="AE149" s="168">
        <v>330</v>
      </c>
      <c r="AF149" s="173">
        <f t="shared" ref="AF149:AF151" si="37">(750+50)*1.1</f>
        <v>880.00000000000011</v>
      </c>
      <c r="AG149" s="168"/>
      <c r="AH149" s="168"/>
      <c r="AI149" s="168"/>
      <c r="AJ149" s="168"/>
      <c r="AK149" s="176">
        <v>154</v>
      </c>
      <c r="AL149" s="170"/>
      <c r="AM149" s="169">
        <v>66</v>
      </c>
      <c r="AN149" s="170"/>
      <c r="AO149" s="168"/>
      <c r="AP149" s="168"/>
      <c r="AQ149" s="168">
        <v>0</v>
      </c>
      <c r="AR149" s="171">
        <f t="shared" ref="AR149:AR151" si="38">44+360</f>
        <v>404</v>
      </c>
      <c r="AS149" s="194"/>
      <c r="AT149" s="194"/>
    </row>
    <row r="150" spans="1:46" x14ac:dyDescent="0.3">
      <c r="A150" s="291"/>
      <c r="B150" s="291"/>
      <c r="C150" s="296"/>
      <c r="D150" s="25" t="s">
        <v>482</v>
      </c>
      <c r="E150" s="76">
        <v>9810592000356</v>
      </c>
      <c r="F150" s="16">
        <v>60</v>
      </c>
      <c r="G150" s="8" t="s">
        <v>72</v>
      </c>
      <c r="H150" s="26" t="s">
        <v>69</v>
      </c>
      <c r="I150" s="26" t="s">
        <v>160</v>
      </c>
      <c r="J150" s="26" t="s">
        <v>76</v>
      </c>
      <c r="K150" s="67">
        <v>20000</v>
      </c>
      <c r="L150" s="131">
        <f t="shared" si="29"/>
        <v>5200</v>
      </c>
      <c r="M150" s="157">
        <f t="shared" si="30"/>
        <v>7.0000000000000007E-2</v>
      </c>
      <c r="N150" s="131">
        <f t="shared" si="31"/>
        <v>12000</v>
      </c>
      <c r="O150" s="132">
        <f t="shared" si="32"/>
        <v>0.41</v>
      </c>
      <c r="P150" s="73">
        <v>3800</v>
      </c>
      <c r="Q150" s="56">
        <f t="shared" si="33"/>
        <v>212</v>
      </c>
      <c r="R150" s="112">
        <f t="shared" si="28"/>
        <v>3588</v>
      </c>
      <c r="S150" s="57">
        <v>693</v>
      </c>
      <c r="T150" s="57">
        <v>1716.0000000000002</v>
      </c>
      <c r="U150" s="52">
        <f t="shared" si="36"/>
        <v>28.600000000000005</v>
      </c>
      <c r="V150" s="57">
        <v>891.00000000000011</v>
      </c>
      <c r="W150" s="52">
        <v>222</v>
      </c>
      <c r="X150" s="53">
        <v>66</v>
      </c>
      <c r="Y150" s="41" t="s">
        <v>142</v>
      </c>
      <c r="Z150" s="40" t="s">
        <v>272</v>
      </c>
      <c r="AC150" s="168">
        <f t="shared" si="35"/>
        <v>3618.2</v>
      </c>
      <c r="AD150" s="168">
        <v>1716</v>
      </c>
      <c r="AE150" s="168">
        <v>330</v>
      </c>
      <c r="AF150" s="173">
        <f t="shared" si="37"/>
        <v>880.00000000000011</v>
      </c>
      <c r="AG150" s="168"/>
      <c r="AH150" s="168"/>
      <c r="AI150" s="168"/>
      <c r="AJ150" s="168"/>
      <c r="AK150" s="176">
        <v>222.2</v>
      </c>
      <c r="AL150" s="170"/>
      <c r="AM150" s="169">
        <v>66</v>
      </c>
      <c r="AN150" s="170"/>
      <c r="AO150" s="168"/>
      <c r="AP150" s="168"/>
      <c r="AQ150" s="168">
        <v>0</v>
      </c>
      <c r="AR150" s="171">
        <f t="shared" si="38"/>
        <v>404</v>
      </c>
      <c r="AS150" s="194"/>
      <c r="AT150" s="194"/>
    </row>
    <row r="151" spans="1:46" x14ac:dyDescent="0.3">
      <c r="A151" s="291"/>
      <c r="B151" s="291"/>
      <c r="C151" s="296"/>
      <c r="D151" s="25" t="s">
        <v>483</v>
      </c>
      <c r="E151" s="76">
        <v>9810592000308</v>
      </c>
      <c r="F151" s="16">
        <v>60</v>
      </c>
      <c r="G151" s="8" t="s">
        <v>72</v>
      </c>
      <c r="H151" s="26" t="s">
        <v>68</v>
      </c>
      <c r="I151" s="26" t="s">
        <v>160</v>
      </c>
      <c r="J151" s="26" t="s">
        <v>76</v>
      </c>
      <c r="K151" s="67">
        <v>20000</v>
      </c>
      <c r="L151" s="131">
        <f t="shared" si="29"/>
        <v>5200</v>
      </c>
      <c r="M151" s="157">
        <f t="shared" si="30"/>
        <v>7.4999999999999997E-2</v>
      </c>
      <c r="N151" s="131">
        <f t="shared" si="31"/>
        <v>12000</v>
      </c>
      <c r="O151" s="132">
        <f t="shared" si="32"/>
        <v>0.41499999999999998</v>
      </c>
      <c r="P151" s="73">
        <v>3700</v>
      </c>
      <c r="Q151" s="56">
        <f t="shared" si="33"/>
        <v>228.40000000000009</v>
      </c>
      <c r="R151" s="112">
        <f t="shared" si="28"/>
        <v>3471.6</v>
      </c>
      <c r="S151" s="57">
        <v>693</v>
      </c>
      <c r="T151" s="57">
        <v>1716.0000000000002</v>
      </c>
      <c r="U151" s="52">
        <f t="shared" si="36"/>
        <v>28.600000000000005</v>
      </c>
      <c r="V151" s="57">
        <v>891.00000000000011</v>
      </c>
      <c r="W151" s="52">
        <f>156*1.1</f>
        <v>171.60000000000002</v>
      </c>
      <c r="X151" s="52"/>
      <c r="Y151" s="41" t="s">
        <v>142</v>
      </c>
      <c r="Z151" s="40" t="s">
        <v>272</v>
      </c>
      <c r="AC151" s="168">
        <f t="shared" si="35"/>
        <v>3501</v>
      </c>
      <c r="AD151" s="168">
        <v>1716</v>
      </c>
      <c r="AE151" s="168">
        <v>330</v>
      </c>
      <c r="AF151" s="173">
        <f t="shared" si="37"/>
        <v>880.00000000000011</v>
      </c>
      <c r="AG151" s="168"/>
      <c r="AH151" s="168"/>
      <c r="AI151" s="168"/>
      <c r="AJ151" s="168"/>
      <c r="AK151" s="176">
        <v>171</v>
      </c>
      <c r="AL151" s="170"/>
      <c r="AM151" s="168"/>
      <c r="AN151" s="170"/>
      <c r="AO151" s="168"/>
      <c r="AP151" s="168"/>
      <c r="AQ151" s="168">
        <f>X151/1.1</f>
        <v>0</v>
      </c>
      <c r="AR151" s="171">
        <f t="shared" si="38"/>
        <v>404</v>
      </c>
      <c r="AS151" s="194"/>
      <c r="AT151" s="194"/>
    </row>
    <row r="152" spans="1:46" x14ac:dyDescent="0.3">
      <c r="A152" s="291"/>
      <c r="B152" s="291"/>
      <c r="C152" s="297" t="s">
        <v>207</v>
      </c>
      <c r="D152" s="18" t="s">
        <v>484</v>
      </c>
      <c r="E152" s="76">
        <v>9810592000382</v>
      </c>
      <c r="F152" s="16">
        <v>10</v>
      </c>
      <c r="G152" s="8" t="s">
        <v>72</v>
      </c>
      <c r="H152" s="26" t="s">
        <v>12</v>
      </c>
      <c r="I152" s="26"/>
      <c r="J152" s="26" t="s">
        <v>78</v>
      </c>
      <c r="K152" s="67">
        <v>10000</v>
      </c>
      <c r="L152" s="131">
        <f t="shared" si="29"/>
        <v>2600</v>
      </c>
      <c r="M152" s="157">
        <f t="shared" si="30"/>
        <v>0.08</v>
      </c>
      <c r="N152" s="131">
        <f t="shared" si="31"/>
        <v>6000</v>
      </c>
      <c r="O152" s="132">
        <f t="shared" si="32"/>
        <v>0.42</v>
      </c>
      <c r="P152" s="73">
        <v>1800</v>
      </c>
      <c r="Q152" s="56">
        <f t="shared" si="33"/>
        <v>165</v>
      </c>
      <c r="R152" s="48">
        <f t="shared" si="28"/>
        <v>1635</v>
      </c>
      <c r="S152" s="52"/>
      <c r="T152" s="52">
        <v>1360</v>
      </c>
      <c r="U152" s="52">
        <f t="shared" si="36"/>
        <v>136</v>
      </c>
      <c r="V152" s="52">
        <v>0</v>
      </c>
      <c r="W152" s="52">
        <v>275</v>
      </c>
      <c r="X152" s="52"/>
      <c r="Y152" s="42"/>
      <c r="AC152" s="168">
        <f t="shared" si="35"/>
        <v>1635</v>
      </c>
      <c r="AD152" s="173">
        <v>1360</v>
      </c>
      <c r="AE152" s="168"/>
      <c r="AF152" s="173"/>
      <c r="AG152" s="168"/>
      <c r="AH152" s="168"/>
      <c r="AI152" s="168"/>
      <c r="AJ152" s="168"/>
      <c r="AK152" s="170">
        <v>275</v>
      </c>
      <c r="AL152" s="170"/>
      <c r="AM152" s="168"/>
      <c r="AN152" s="170"/>
      <c r="AO152" s="168"/>
      <c r="AP152" s="168"/>
      <c r="AQ152" s="168">
        <f>X152/1.1</f>
        <v>0</v>
      </c>
      <c r="AR152" s="171"/>
      <c r="AS152" s="194"/>
      <c r="AT152" s="194"/>
    </row>
    <row r="153" spans="1:46" x14ac:dyDescent="0.3">
      <c r="A153" s="291"/>
      <c r="B153" s="291"/>
      <c r="C153" s="298"/>
      <c r="D153" s="18" t="s">
        <v>485</v>
      </c>
      <c r="E153" s="76">
        <v>9810592000383</v>
      </c>
      <c r="F153" s="16">
        <v>10</v>
      </c>
      <c r="G153" s="8" t="s">
        <v>72</v>
      </c>
      <c r="H153" s="26" t="s">
        <v>12</v>
      </c>
      <c r="I153" s="26"/>
      <c r="J153" s="26" t="s">
        <v>78</v>
      </c>
      <c r="K153" s="67">
        <v>10000</v>
      </c>
      <c r="L153" s="131">
        <f t="shared" si="29"/>
        <v>2600</v>
      </c>
      <c r="M153" s="157">
        <f t="shared" si="30"/>
        <v>0.08</v>
      </c>
      <c r="N153" s="131">
        <f t="shared" si="31"/>
        <v>6000</v>
      </c>
      <c r="O153" s="132">
        <f t="shared" si="32"/>
        <v>0.42</v>
      </c>
      <c r="P153" s="73">
        <v>1800</v>
      </c>
      <c r="Q153" s="56">
        <f t="shared" si="33"/>
        <v>165</v>
      </c>
      <c r="R153" s="48">
        <f t="shared" si="28"/>
        <v>1635</v>
      </c>
      <c r="S153" s="52"/>
      <c r="T153" s="52">
        <v>1360</v>
      </c>
      <c r="U153" s="52">
        <f t="shared" si="36"/>
        <v>136</v>
      </c>
      <c r="V153" s="52">
        <v>0</v>
      </c>
      <c r="W153" s="52">
        <v>275</v>
      </c>
      <c r="X153" s="52"/>
      <c r="Y153" s="43" t="s">
        <v>158</v>
      </c>
      <c r="AC153" s="168">
        <f t="shared" si="35"/>
        <v>1635</v>
      </c>
      <c r="AD153" s="173">
        <v>1360</v>
      </c>
      <c r="AE153" s="168"/>
      <c r="AF153" s="173"/>
      <c r="AG153" s="168"/>
      <c r="AH153" s="168"/>
      <c r="AI153" s="168"/>
      <c r="AJ153" s="168"/>
      <c r="AK153" s="170">
        <v>275</v>
      </c>
      <c r="AL153" s="170"/>
      <c r="AM153" s="168"/>
      <c r="AN153" s="170"/>
      <c r="AO153" s="168"/>
      <c r="AP153" s="168"/>
      <c r="AQ153" s="168">
        <f>X153/1.1</f>
        <v>0</v>
      </c>
      <c r="AR153" s="171"/>
      <c r="AS153" s="194"/>
      <c r="AT153" s="194"/>
    </row>
    <row r="154" spans="1:46" ht="17.25" customHeight="1" x14ac:dyDescent="0.3">
      <c r="A154" s="291"/>
      <c r="B154" s="291"/>
      <c r="C154" s="296" t="s">
        <v>86</v>
      </c>
      <c r="D154" s="18" t="s">
        <v>486</v>
      </c>
      <c r="E154" s="76">
        <v>9810592000227</v>
      </c>
      <c r="F154" s="12">
        <v>10</v>
      </c>
      <c r="G154" s="8" t="s">
        <v>72</v>
      </c>
      <c r="H154" s="26" t="s">
        <v>164</v>
      </c>
      <c r="I154" s="26"/>
      <c r="J154" s="26" t="s">
        <v>78</v>
      </c>
      <c r="K154" s="67">
        <v>15000</v>
      </c>
      <c r="L154" s="131">
        <f t="shared" si="29"/>
        <v>3900</v>
      </c>
      <c r="M154" s="157">
        <f t="shared" si="30"/>
        <v>0.12666666666666668</v>
      </c>
      <c r="N154" s="131">
        <f t="shared" si="31"/>
        <v>9000</v>
      </c>
      <c r="O154" s="132">
        <f t="shared" si="32"/>
        <v>0.46666666666666667</v>
      </c>
      <c r="P154" s="73">
        <v>2000</v>
      </c>
      <c r="Q154" s="56">
        <f t="shared" si="33"/>
        <v>130</v>
      </c>
      <c r="R154" s="48">
        <f t="shared" si="28"/>
        <v>1870</v>
      </c>
      <c r="S154" s="52"/>
      <c r="T154" s="52">
        <v>1540</v>
      </c>
      <c r="U154" s="52">
        <f t="shared" si="36"/>
        <v>154</v>
      </c>
      <c r="V154" s="52">
        <v>0</v>
      </c>
      <c r="W154" s="52">
        <v>330</v>
      </c>
      <c r="X154" s="52"/>
      <c r="Y154" s="42" t="s">
        <v>177</v>
      </c>
    </row>
    <row r="155" spans="1:46" ht="17.25" customHeight="1" x14ac:dyDescent="0.3">
      <c r="A155" s="291"/>
      <c r="B155" s="291"/>
      <c r="C155" s="296"/>
      <c r="D155" s="18" t="s">
        <v>487</v>
      </c>
      <c r="E155" s="76">
        <v>9810592000225</v>
      </c>
      <c r="F155" s="12">
        <v>10</v>
      </c>
      <c r="G155" s="8" t="s">
        <v>72</v>
      </c>
      <c r="H155" s="26" t="s">
        <v>164</v>
      </c>
      <c r="I155" s="26"/>
      <c r="J155" s="26" t="s">
        <v>78</v>
      </c>
      <c r="K155" s="67">
        <v>15000</v>
      </c>
      <c r="L155" s="131">
        <f t="shared" si="29"/>
        <v>3900</v>
      </c>
      <c r="M155" s="157">
        <f t="shared" si="30"/>
        <v>0.12666666666666668</v>
      </c>
      <c r="N155" s="131">
        <f t="shared" si="31"/>
        <v>9000</v>
      </c>
      <c r="O155" s="132">
        <f t="shared" si="32"/>
        <v>0.46666666666666667</v>
      </c>
      <c r="P155" s="73">
        <v>2000</v>
      </c>
      <c r="Q155" s="56">
        <f t="shared" si="33"/>
        <v>130</v>
      </c>
      <c r="R155" s="48">
        <f t="shared" si="28"/>
        <v>1870</v>
      </c>
      <c r="S155" s="52"/>
      <c r="T155" s="52">
        <v>1540</v>
      </c>
      <c r="U155" s="52">
        <f t="shared" si="36"/>
        <v>154</v>
      </c>
      <c r="V155" s="52">
        <v>0</v>
      </c>
      <c r="W155" s="52">
        <v>330</v>
      </c>
      <c r="X155" s="52"/>
      <c r="Y155" s="42" t="s">
        <v>177</v>
      </c>
    </row>
    <row r="156" spans="1:46" ht="17.25" customHeight="1" x14ac:dyDescent="0.3">
      <c r="A156" s="291"/>
      <c r="B156" s="291"/>
      <c r="C156" s="296"/>
      <c r="D156" s="18" t="s">
        <v>488</v>
      </c>
      <c r="E156" s="76">
        <v>9810592000219</v>
      </c>
      <c r="F156" s="12">
        <v>10</v>
      </c>
      <c r="G156" s="8" t="s">
        <v>72</v>
      </c>
      <c r="H156" s="26" t="s">
        <v>164</v>
      </c>
      <c r="I156" s="26"/>
      <c r="J156" s="26" t="s">
        <v>78</v>
      </c>
      <c r="K156" s="67">
        <v>15000</v>
      </c>
      <c r="L156" s="131">
        <f t="shared" si="29"/>
        <v>3900</v>
      </c>
      <c r="M156" s="157">
        <f t="shared" si="30"/>
        <v>0.12666666666666668</v>
      </c>
      <c r="N156" s="131">
        <f t="shared" si="31"/>
        <v>9000</v>
      </c>
      <c r="O156" s="132">
        <f t="shared" si="32"/>
        <v>0.46666666666666667</v>
      </c>
      <c r="P156" s="73">
        <v>2000</v>
      </c>
      <c r="Q156" s="56">
        <f t="shared" si="33"/>
        <v>130</v>
      </c>
      <c r="R156" s="48">
        <f t="shared" si="28"/>
        <v>1870</v>
      </c>
      <c r="S156" s="52"/>
      <c r="T156" s="52">
        <v>1540</v>
      </c>
      <c r="U156" s="52">
        <f t="shared" si="36"/>
        <v>154</v>
      </c>
      <c r="V156" s="52">
        <v>0</v>
      </c>
      <c r="W156" s="52">
        <v>330</v>
      </c>
      <c r="X156" s="52"/>
      <c r="Y156" s="42" t="s">
        <v>177</v>
      </c>
    </row>
    <row r="157" spans="1:46" x14ac:dyDescent="0.3">
      <c r="A157" s="291"/>
      <c r="B157" s="291"/>
      <c r="C157" s="165" t="s">
        <v>89</v>
      </c>
      <c r="D157" s="18" t="s">
        <v>489</v>
      </c>
      <c r="E157" s="76">
        <v>9810592000196</v>
      </c>
      <c r="F157" s="16">
        <v>5</v>
      </c>
      <c r="G157" s="8" t="s">
        <v>82</v>
      </c>
      <c r="H157" s="26" t="s">
        <v>10</v>
      </c>
      <c r="I157" s="26" t="s">
        <v>37</v>
      </c>
      <c r="J157" s="47" t="s">
        <v>76</v>
      </c>
      <c r="K157" s="67">
        <v>15000</v>
      </c>
      <c r="L157" s="131">
        <f t="shared" si="29"/>
        <v>3900</v>
      </c>
      <c r="M157" s="157">
        <f t="shared" si="30"/>
        <v>7.3333333333333334E-2</v>
      </c>
      <c r="N157" s="131">
        <f t="shared" si="31"/>
        <v>9000</v>
      </c>
      <c r="O157" s="132">
        <f t="shared" si="32"/>
        <v>0.41333333333333333</v>
      </c>
      <c r="P157" s="73">
        <v>2800</v>
      </c>
      <c r="Q157" s="56">
        <f t="shared" si="33"/>
        <v>140</v>
      </c>
      <c r="R157" s="112">
        <f t="shared" si="28"/>
        <v>2660</v>
      </c>
      <c r="S157" s="52"/>
      <c r="T157" s="57">
        <f>500*5</f>
        <v>2500</v>
      </c>
      <c r="U157" s="52">
        <f t="shared" si="36"/>
        <v>500</v>
      </c>
      <c r="V157" s="52">
        <v>0</v>
      </c>
      <c r="W157" s="52">
        <v>160</v>
      </c>
      <c r="X157" s="52"/>
      <c r="Y157" s="41" t="s">
        <v>132</v>
      </c>
      <c r="Z157" s="40" t="s">
        <v>270</v>
      </c>
      <c r="AC157" s="168">
        <f>SUM(AD157:AR157)</f>
        <v>2660</v>
      </c>
      <c r="AD157" s="173">
        <v>2500</v>
      </c>
      <c r="AE157" s="168"/>
      <c r="AF157" s="173">
        <v>0</v>
      </c>
      <c r="AG157" s="168">
        <v>0</v>
      </c>
      <c r="AH157" s="168"/>
      <c r="AI157" s="168"/>
      <c r="AJ157" s="168"/>
      <c r="AK157" s="170">
        <v>160</v>
      </c>
      <c r="AL157" s="170"/>
      <c r="AM157" s="168"/>
      <c r="AN157" s="170"/>
      <c r="AO157" s="168"/>
      <c r="AP157" s="168"/>
      <c r="AQ157" s="168">
        <f>X157/1.1</f>
        <v>0</v>
      </c>
      <c r="AR157" s="171"/>
      <c r="AS157" s="194"/>
      <c r="AT157" s="194"/>
    </row>
    <row r="158" spans="1:46" x14ac:dyDescent="0.3">
      <c r="A158" s="291"/>
      <c r="B158" s="291"/>
      <c r="C158" s="167" t="s">
        <v>193</v>
      </c>
      <c r="D158" s="117" t="s">
        <v>490</v>
      </c>
      <c r="E158" s="151">
        <v>9810592000222</v>
      </c>
      <c r="F158" s="27">
        <v>150</v>
      </c>
      <c r="G158" s="16" t="s">
        <v>179</v>
      </c>
      <c r="H158" s="28"/>
      <c r="I158" s="28"/>
      <c r="J158" s="28"/>
      <c r="K158" s="67">
        <v>15000</v>
      </c>
      <c r="L158" s="131">
        <f t="shared" si="29"/>
        <v>3900</v>
      </c>
      <c r="M158" s="157">
        <f t="shared" si="30"/>
        <v>0.18</v>
      </c>
      <c r="N158" s="131">
        <f t="shared" si="31"/>
        <v>9000</v>
      </c>
      <c r="O158" s="132">
        <f t="shared" si="32"/>
        <v>0.52</v>
      </c>
      <c r="P158" s="73">
        <v>1200</v>
      </c>
      <c r="Q158" s="56">
        <f>P158-R158</f>
        <v>1200</v>
      </c>
      <c r="R158" s="49">
        <f>S158+T158+V158+W158+X158</f>
        <v>0</v>
      </c>
      <c r="S158" s="55"/>
      <c r="T158" s="56"/>
      <c r="U158" s="56"/>
      <c r="V158" s="56"/>
      <c r="W158" s="56"/>
      <c r="X158" s="56"/>
      <c r="Y158" s="36" t="s">
        <v>184</v>
      </c>
    </row>
    <row r="159" spans="1:46" x14ac:dyDescent="0.3">
      <c r="A159" s="294" t="s">
        <v>189</v>
      </c>
      <c r="B159" s="294" t="s">
        <v>189</v>
      </c>
      <c r="C159" s="294" t="s">
        <v>189</v>
      </c>
      <c r="D159" s="18" t="s">
        <v>491</v>
      </c>
      <c r="E159" s="76">
        <v>9810592000105</v>
      </c>
      <c r="F159" s="16">
        <v>1</v>
      </c>
      <c r="G159" s="8" t="s">
        <v>72</v>
      </c>
      <c r="H159" s="26" t="s">
        <v>71</v>
      </c>
      <c r="I159" s="26" t="s">
        <v>71</v>
      </c>
      <c r="J159" s="26" t="s">
        <v>78</v>
      </c>
      <c r="K159" s="67">
        <v>39000</v>
      </c>
      <c r="L159" s="131">
        <f>K159*27%</f>
        <v>10530</v>
      </c>
      <c r="M159" s="157">
        <f t="shared" si="30"/>
        <v>7.7692307692307686E-2</v>
      </c>
      <c r="N159" s="131">
        <f t="shared" si="31"/>
        <v>23400</v>
      </c>
      <c r="O159" s="132">
        <f t="shared" si="32"/>
        <v>0.40769230769230769</v>
      </c>
      <c r="P159" s="73">
        <v>7500</v>
      </c>
      <c r="Q159" s="56">
        <f t="shared" si="33"/>
        <v>292</v>
      </c>
      <c r="R159" s="48">
        <f t="shared" si="28"/>
        <v>7208</v>
      </c>
      <c r="S159" s="52">
        <v>100</v>
      </c>
      <c r="T159" s="52">
        <v>6624</v>
      </c>
      <c r="U159" s="52">
        <f>T159/F159</f>
        <v>6624</v>
      </c>
      <c r="V159" s="52">
        <v>0</v>
      </c>
      <c r="W159" s="53">
        <v>473</v>
      </c>
      <c r="X159" s="52">
        <v>11</v>
      </c>
      <c r="Y159" s="43" t="s">
        <v>182</v>
      </c>
      <c r="AA159" s="40" t="s">
        <v>189</v>
      </c>
      <c r="AB159" s="40">
        <v>3</v>
      </c>
      <c r="AC159" s="168">
        <f t="shared" ref="AC159:AC160" si="39">SUM(AD159:AR159)</f>
        <v>7208</v>
      </c>
      <c r="AD159" s="173">
        <v>6624</v>
      </c>
      <c r="AE159" s="168">
        <v>100</v>
      </c>
      <c r="AF159" s="173"/>
      <c r="AG159" s="168"/>
      <c r="AH159" s="168"/>
      <c r="AI159" s="168"/>
      <c r="AJ159" s="168"/>
      <c r="AK159" s="170">
        <v>473</v>
      </c>
      <c r="AL159" s="170"/>
      <c r="AM159" s="168">
        <v>11</v>
      </c>
      <c r="AN159" s="170"/>
      <c r="AO159" s="168"/>
      <c r="AP159" s="168"/>
      <c r="AQ159" s="168"/>
      <c r="AR159" s="171"/>
      <c r="AS159" s="194"/>
      <c r="AT159" s="194"/>
    </row>
    <row r="160" spans="1:46" ht="11.45" customHeight="1" x14ac:dyDescent="0.3">
      <c r="A160" s="294"/>
      <c r="B160" s="294"/>
      <c r="C160" s="294"/>
      <c r="D160" s="18" t="s">
        <v>492</v>
      </c>
      <c r="E160" s="76">
        <v>9810592000104</v>
      </c>
      <c r="F160" s="16">
        <v>1</v>
      </c>
      <c r="G160" s="8" t="s">
        <v>72</v>
      </c>
      <c r="H160" s="26" t="s">
        <v>75</v>
      </c>
      <c r="I160" s="26" t="s">
        <v>75</v>
      </c>
      <c r="J160" s="26"/>
      <c r="K160" s="67">
        <v>21000</v>
      </c>
      <c r="L160" s="131">
        <f t="shared" si="29"/>
        <v>5460</v>
      </c>
      <c r="M160" s="157">
        <f t="shared" si="30"/>
        <v>6.9523809523809529E-2</v>
      </c>
      <c r="N160" s="131">
        <f t="shared" si="31"/>
        <v>12600</v>
      </c>
      <c r="O160" s="132">
        <f t="shared" si="32"/>
        <v>0.40952380952380951</v>
      </c>
      <c r="P160" s="73">
        <v>4000</v>
      </c>
      <c r="Q160" s="56">
        <f t="shared" si="33"/>
        <v>679</v>
      </c>
      <c r="R160" s="48">
        <f t="shared" si="28"/>
        <v>3321</v>
      </c>
      <c r="S160" s="52">
        <v>0</v>
      </c>
      <c r="T160" s="52">
        <v>3321</v>
      </c>
      <c r="U160" s="52">
        <f>T160/F160</f>
        <v>3321</v>
      </c>
      <c r="V160" s="52">
        <v>0</v>
      </c>
      <c r="W160" s="52">
        <v>0</v>
      </c>
      <c r="X160" s="52"/>
      <c r="Y160" s="42" t="s">
        <v>176</v>
      </c>
      <c r="AC160" s="168">
        <f t="shared" si="39"/>
        <v>3321</v>
      </c>
      <c r="AD160" s="173">
        <v>3321</v>
      </c>
      <c r="AE160" s="168"/>
      <c r="AF160" s="173"/>
      <c r="AG160" s="168"/>
      <c r="AH160" s="168"/>
      <c r="AI160" s="168"/>
      <c r="AJ160" s="168"/>
      <c r="AK160" s="170"/>
      <c r="AL160" s="170"/>
      <c r="AM160" s="168"/>
      <c r="AN160" s="170"/>
      <c r="AO160" s="168"/>
      <c r="AP160" s="168"/>
      <c r="AQ160" s="168">
        <f>X160/1.1</f>
        <v>0</v>
      </c>
      <c r="AR160" s="171"/>
      <c r="AS160" s="194"/>
      <c r="AT160" s="194"/>
    </row>
    <row r="161" spans="1:45" x14ac:dyDescent="0.3">
      <c r="A161" s="294"/>
      <c r="B161" s="294"/>
      <c r="C161" s="294"/>
      <c r="D161" s="23" t="s">
        <v>206</v>
      </c>
      <c r="E161" s="111"/>
      <c r="F161" s="27">
        <v>1</v>
      </c>
      <c r="G161" s="16" t="s">
        <v>82</v>
      </c>
      <c r="H161" s="28"/>
      <c r="I161" s="28"/>
      <c r="J161" s="28"/>
      <c r="K161" s="67">
        <v>45000</v>
      </c>
      <c r="L161" s="131">
        <f t="shared" si="29"/>
        <v>11700</v>
      </c>
      <c r="M161" s="157">
        <f t="shared" si="30"/>
        <v>9.3333333333333338E-2</v>
      </c>
      <c r="N161" s="131">
        <f t="shared" si="31"/>
        <v>27000</v>
      </c>
      <c r="O161" s="132">
        <f t="shared" si="32"/>
        <v>0.43333333333333335</v>
      </c>
      <c r="P161" s="73">
        <v>7500</v>
      </c>
      <c r="Q161" s="56">
        <f>P161-R161</f>
        <v>7500</v>
      </c>
      <c r="R161" s="49">
        <f>S161+T161+V161+W161+X161</f>
        <v>0</v>
      </c>
      <c r="S161" s="55"/>
      <c r="T161" s="56"/>
      <c r="U161" s="56"/>
      <c r="V161" s="56"/>
      <c r="W161" s="56"/>
      <c r="X161" s="56"/>
      <c r="Y161" s="36" t="s">
        <v>184</v>
      </c>
    </row>
    <row r="162" spans="1:45" ht="6" customHeight="1" x14ac:dyDescent="0.3">
      <c r="A162" s="37"/>
      <c r="B162" s="37"/>
      <c r="C162" s="59"/>
      <c r="D162" s="1"/>
      <c r="E162" s="1"/>
      <c r="F162" s="13"/>
      <c r="G162" s="14"/>
      <c r="H162" s="21"/>
      <c r="I162" s="21"/>
      <c r="J162" s="21"/>
      <c r="P162" s="74"/>
      <c r="R162" s="30"/>
      <c r="AC162" s="159"/>
      <c r="AD162" s="159"/>
      <c r="AE162" s="159"/>
      <c r="AF162" s="159"/>
      <c r="AG162" s="159"/>
      <c r="AH162" s="159"/>
      <c r="AI162" s="159"/>
      <c r="AJ162" s="159"/>
      <c r="AK162" s="159"/>
      <c r="AL162" s="161"/>
      <c r="AM162" s="159"/>
      <c r="AN162" s="161"/>
      <c r="AO162" s="159"/>
      <c r="AP162" s="159"/>
      <c r="AQ162" s="159"/>
      <c r="AR162" s="164"/>
    </row>
    <row r="163" spans="1:45" x14ac:dyDescent="0.3">
      <c r="A163" s="37" t="s">
        <v>498</v>
      </c>
      <c r="B163" s="37"/>
      <c r="C163" s="59"/>
      <c r="D163" s="1"/>
      <c r="E163" s="1"/>
      <c r="F163" s="13"/>
      <c r="G163" s="14"/>
      <c r="H163" s="21"/>
      <c r="I163" s="21"/>
      <c r="J163" s="21"/>
      <c r="L163" s="38" t="s">
        <v>232</v>
      </c>
      <c r="N163" s="38" t="s">
        <v>232</v>
      </c>
      <c r="R163" s="30"/>
      <c r="AC163" s="159"/>
      <c r="AD163" s="159"/>
      <c r="AE163" s="159"/>
      <c r="AF163" s="159"/>
      <c r="AG163" s="159"/>
      <c r="AH163" s="159"/>
      <c r="AI163" s="159"/>
      <c r="AJ163" s="159"/>
      <c r="AK163" s="159"/>
      <c r="AL163" s="161"/>
      <c r="AM163" s="159"/>
      <c r="AN163" s="161"/>
      <c r="AO163" s="159"/>
      <c r="AP163" s="159"/>
      <c r="AQ163" s="159"/>
      <c r="AR163" s="164"/>
    </row>
    <row r="164" spans="1:45" x14ac:dyDescent="0.3">
      <c r="A164" s="78" t="s">
        <v>211</v>
      </c>
      <c r="B164" s="78" t="s">
        <v>48</v>
      </c>
      <c r="C164" s="79" t="s">
        <v>55</v>
      </c>
      <c r="D164" s="23" t="s">
        <v>493</v>
      </c>
      <c r="E164" s="77">
        <v>9810592000043</v>
      </c>
      <c r="F164" s="27">
        <v>500</v>
      </c>
      <c r="G164" s="16" t="s">
        <v>179</v>
      </c>
      <c r="H164" s="26" t="s">
        <v>12</v>
      </c>
      <c r="I164" s="26" t="s">
        <v>47</v>
      </c>
      <c r="J164" s="28"/>
      <c r="K164" s="67">
        <v>13000</v>
      </c>
      <c r="L164" s="131"/>
      <c r="M164" s="157"/>
      <c r="N164" s="131">
        <v>3900</v>
      </c>
      <c r="O164" s="132">
        <f t="shared" ref="O164:O166" si="40">(N164-P164)/K164</f>
        <v>0.1</v>
      </c>
      <c r="P164" s="73">
        <v>2600</v>
      </c>
      <c r="Q164" s="56">
        <f t="shared" ref="Q164" si="41">P164-R164</f>
        <v>183</v>
      </c>
      <c r="R164" s="49">
        <f t="shared" ref="R164" si="42">S164+T164+V164+W164+X164</f>
        <v>2417</v>
      </c>
      <c r="S164" s="73">
        <v>275</v>
      </c>
      <c r="T164" s="73">
        <v>1485</v>
      </c>
      <c r="U164" s="56"/>
      <c r="V164" s="73">
        <f>308+44+88</f>
        <v>440</v>
      </c>
      <c r="W164" s="56"/>
      <c r="X164" s="56">
        <f>198+19</f>
        <v>217</v>
      </c>
      <c r="Z164" s="40" t="s">
        <v>211</v>
      </c>
      <c r="AC164" s="159"/>
      <c r="AD164" s="159"/>
      <c r="AE164" s="159"/>
      <c r="AF164" s="159">
        <v>308</v>
      </c>
      <c r="AG164" s="159">
        <v>88</v>
      </c>
      <c r="AH164" s="159">
        <v>44</v>
      </c>
      <c r="AI164" s="159"/>
      <c r="AJ164" s="159"/>
      <c r="AK164" s="161"/>
      <c r="AL164" s="161"/>
      <c r="AM164" s="159"/>
      <c r="AN164" s="161"/>
      <c r="AO164" s="159"/>
      <c r="AP164" s="159"/>
      <c r="AQ164" s="159"/>
      <c r="AR164" s="164"/>
      <c r="AS164" s="40" t="s">
        <v>547</v>
      </c>
    </row>
    <row r="165" spans="1:45" x14ac:dyDescent="0.3">
      <c r="A165" s="291" t="s">
        <v>212</v>
      </c>
      <c r="B165" s="78" t="s">
        <v>213</v>
      </c>
      <c r="C165" s="80" t="s">
        <v>214</v>
      </c>
      <c r="D165" s="23" t="s">
        <v>494</v>
      </c>
      <c r="E165" s="77">
        <v>9810592000416</v>
      </c>
      <c r="F165" s="27">
        <v>38</v>
      </c>
      <c r="G165" s="16" t="s">
        <v>209</v>
      </c>
      <c r="H165" s="28"/>
      <c r="I165" s="28"/>
      <c r="J165" s="28" t="s">
        <v>79</v>
      </c>
      <c r="K165" s="67">
        <v>23000</v>
      </c>
      <c r="L165" s="131"/>
      <c r="M165" s="157"/>
      <c r="N165" s="131">
        <v>12535</v>
      </c>
      <c r="O165" s="132">
        <f t="shared" si="40"/>
        <v>0.26239130434782609</v>
      </c>
      <c r="P165" s="51">
        <v>6500</v>
      </c>
      <c r="Q165" s="56">
        <f>P165-R165</f>
        <v>628</v>
      </c>
      <c r="R165" s="49">
        <f>S165+T165+V165+W165+X165</f>
        <v>5872</v>
      </c>
      <c r="S165" s="55">
        <v>1490</v>
      </c>
      <c r="T165" s="56">
        <v>900</v>
      </c>
      <c r="U165" s="56">
        <v>23.684210526315791</v>
      </c>
      <c r="V165" s="56">
        <v>1837</v>
      </c>
      <c r="W165" s="73">
        <v>429</v>
      </c>
      <c r="X165" s="52">
        <f>11+385+820</f>
        <v>1216</v>
      </c>
      <c r="Z165" s="40" t="s">
        <v>210</v>
      </c>
      <c r="AC165" s="159"/>
      <c r="AD165" s="159">
        <v>325</v>
      </c>
      <c r="AE165" s="159">
        <v>319</v>
      </c>
      <c r="AF165" s="159"/>
      <c r="AG165" s="159"/>
      <c r="AH165" s="159"/>
      <c r="AI165" s="159"/>
      <c r="AJ165" s="159"/>
      <c r="AK165" s="161">
        <v>429</v>
      </c>
      <c r="AL165" s="161">
        <v>275</v>
      </c>
      <c r="AM165" s="159">
        <v>110</v>
      </c>
      <c r="AN165" s="161"/>
      <c r="AO165" s="159"/>
      <c r="AP165" s="159"/>
      <c r="AQ165" s="159"/>
      <c r="AR165" s="164"/>
    </row>
    <row r="166" spans="1:45" x14ac:dyDescent="0.3">
      <c r="A166" s="291"/>
      <c r="B166" s="78" t="s">
        <v>217</v>
      </c>
      <c r="C166" s="79" t="s">
        <v>217</v>
      </c>
      <c r="D166" s="23" t="s">
        <v>495</v>
      </c>
      <c r="E166" s="77">
        <v>9810592000385</v>
      </c>
      <c r="F166" s="27">
        <v>1</v>
      </c>
      <c r="G166" s="16" t="s">
        <v>82</v>
      </c>
      <c r="H166" s="28"/>
      <c r="I166" s="28" t="s">
        <v>35</v>
      </c>
      <c r="J166" s="28" t="s">
        <v>216</v>
      </c>
      <c r="K166" s="67">
        <v>39000</v>
      </c>
      <c r="L166" s="131"/>
      <c r="M166" s="157"/>
      <c r="N166" s="131">
        <v>10530</v>
      </c>
      <c r="O166" s="132">
        <f t="shared" si="40"/>
        <v>2.6410256410256409E-2</v>
      </c>
      <c r="P166" s="51">
        <v>9500</v>
      </c>
      <c r="Q166" s="56">
        <f>P166-R166</f>
        <v>520</v>
      </c>
      <c r="R166" s="49">
        <f>S166+T166+V166+W166+X166</f>
        <v>8980</v>
      </c>
      <c r="S166" s="55">
        <f>100+100</f>
        <v>200</v>
      </c>
      <c r="T166" s="56">
        <v>6624</v>
      </c>
      <c r="U166" s="56"/>
      <c r="V166" s="73">
        <v>363</v>
      </c>
      <c r="W166" s="75">
        <f>374+473</f>
        <v>847</v>
      </c>
      <c r="X166" s="56">
        <v>946</v>
      </c>
      <c r="Z166" s="40" t="s">
        <v>210</v>
      </c>
      <c r="AC166" s="159"/>
      <c r="AD166" s="159"/>
      <c r="AE166" s="159"/>
      <c r="AF166" s="159"/>
      <c r="AG166" s="159"/>
      <c r="AH166" s="159"/>
      <c r="AI166" s="159"/>
      <c r="AJ166" s="159"/>
      <c r="AK166" s="161">
        <v>374</v>
      </c>
      <c r="AL166" s="161"/>
      <c r="AM166" s="159"/>
      <c r="AN166" s="161"/>
      <c r="AO166" s="159"/>
      <c r="AP166" s="159"/>
      <c r="AQ166" s="159"/>
      <c r="AR166" s="164"/>
    </row>
    <row r="167" spans="1:45" x14ac:dyDescent="0.3">
      <c r="A167" s="291" t="s">
        <v>218</v>
      </c>
      <c r="B167" s="78" t="s">
        <v>6</v>
      </c>
      <c r="C167" s="79" t="s">
        <v>43</v>
      </c>
      <c r="D167" s="7" t="s">
        <v>496</v>
      </c>
      <c r="E167" s="76">
        <v>9810592000419</v>
      </c>
      <c r="F167" s="16">
        <v>50</v>
      </c>
      <c r="G167" s="8" t="s">
        <v>16</v>
      </c>
      <c r="H167" s="26" t="s">
        <v>70</v>
      </c>
      <c r="I167" s="26" t="s">
        <v>46</v>
      </c>
      <c r="J167" s="26" t="s">
        <v>78</v>
      </c>
      <c r="K167" s="67">
        <v>12000</v>
      </c>
      <c r="L167" s="133">
        <v>3000</v>
      </c>
      <c r="M167" s="157">
        <f t="shared" ref="M167" si="43">(L167-P167)/K167</f>
        <v>7.4999999999999997E-2</v>
      </c>
      <c r="N167" s="131"/>
      <c r="O167" s="132"/>
      <c r="P167" s="73">
        <v>2100</v>
      </c>
      <c r="Q167" s="56">
        <f t="shared" ref="Q167:Q174" si="44">P167-R167</f>
        <v>394</v>
      </c>
      <c r="R167" s="48">
        <f t="shared" ref="R167:R174" si="45">S167+T167+V167+W167+X167</f>
        <v>1706</v>
      </c>
      <c r="S167" s="52"/>
      <c r="T167" s="52">
        <v>1167</v>
      </c>
      <c r="U167" s="52">
        <f>T167/F167</f>
        <v>23.34</v>
      </c>
      <c r="V167" s="52">
        <v>330</v>
      </c>
      <c r="W167" s="53">
        <v>209</v>
      </c>
      <c r="X167" s="52"/>
      <c r="Y167" s="41"/>
      <c r="AC167" s="159"/>
      <c r="AD167" s="159"/>
      <c r="AE167" s="159"/>
      <c r="AF167" s="159"/>
      <c r="AG167" s="159"/>
      <c r="AH167" s="159"/>
      <c r="AI167" s="159"/>
      <c r="AJ167" s="159"/>
      <c r="AK167" s="161"/>
      <c r="AL167" s="161"/>
      <c r="AM167" s="159"/>
      <c r="AN167" s="161"/>
      <c r="AO167" s="159"/>
      <c r="AP167" s="159"/>
      <c r="AQ167" s="159"/>
      <c r="AR167" s="164"/>
    </row>
    <row r="168" spans="1:45" ht="11.45" customHeight="1" x14ac:dyDescent="0.3">
      <c r="A168" s="291"/>
      <c r="B168" s="291" t="s">
        <v>58</v>
      </c>
      <c r="C168" s="293" t="s">
        <v>59</v>
      </c>
      <c r="D168" s="7" t="s">
        <v>220</v>
      </c>
      <c r="E168" s="76">
        <v>9810592000405</v>
      </c>
      <c r="F168" s="12">
        <v>120</v>
      </c>
      <c r="G168" s="8" t="s">
        <v>8</v>
      </c>
      <c r="H168" s="26" t="s">
        <v>70</v>
      </c>
      <c r="I168" s="26" t="s">
        <v>35</v>
      </c>
      <c r="J168" s="26"/>
      <c r="K168" s="67">
        <v>9000</v>
      </c>
      <c r="L168" s="134"/>
      <c r="M168" s="157"/>
      <c r="N168" s="131"/>
      <c r="O168" s="132"/>
      <c r="P168" s="73">
        <v>1700</v>
      </c>
      <c r="Q168" s="56">
        <f t="shared" si="44"/>
        <v>85</v>
      </c>
      <c r="R168" s="48">
        <f t="shared" si="45"/>
        <v>1615</v>
      </c>
      <c r="S168" s="52">
        <v>198</v>
      </c>
      <c r="T168" s="52">
        <v>792</v>
      </c>
      <c r="U168" s="52">
        <f>T168/F168</f>
        <v>6.6</v>
      </c>
      <c r="V168" s="52">
        <v>429</v>
      </c>
      <c r="W168" s="52">
        <v>0</v>
      </c>
      <c r="X168" s="53">
        <f>182+14</f>
        <v>196</v>
      </c>
      <c r="Y168" s="42"/>
      <c r="Z168" s="40" t="s">
        <v>233</v>
      </c>
      <c r="AA168" s="40" t="s">
        <v>336</v>
      </c>
      <c r="AC168" s="159"/>
      <c r="AD168" s="159"/>
      <c r="AE168" s="159"/>
      <c r="AF168" s="159">
        <v>429</v>
      </c>
      <c r="AG168" s="159"/>
      <c r="AH168" s="159"/>
      <c r="AI168" s="159"/>
      <c r="AJ168" s="159"/>
      <c r="AK168" s="161"/>
      <c r="AL168" s="161"/>
      <c r="AM168" s="159"/>
      <c r="AN168" s="161"/>
      <c r="AO168" s="159"/>
      <c r="AP168" s="159"/>
      <c r="AQ168" s="159"/>
      <c r="AR168" s="164"/>
    </row>
    <row r="169" spans="1:45" ht="11.45" customHeight="1" x14ac:dyDescent="0.3">
      <c r="A169" s="291"/>
      <c r="B169" s="291"/>
      <c r="C169" s="293"/>
      <c r="D169" s="7" t="s">
        <v>221</v>
      </c>
      <c r="E169" s="76">
        <v>9810592000406</v>
      </c>
      <c r="F169" s="12">
        <v>120</v>
      </c>
      <c r="G169" s="8" t="s">
        <v>16</v>
      </c>
      <c r="H169" s="26" t="s">
        <v>12</v>
      </c>
      <c r="I169" s="26" t="s">
        <v>35</v>
      </c>
      <c r="J169" s="26"/>
      <c r="K169" s="67">
        <v>12000</v>
      </c>
      <c r="L169" s="134"/>
      <c r="M169" s="157"/>
      <c r="N169" s="131"/>
      <c r="O169" s="132"/>
      <c r="P169" s="73">
        <v>2000</v>
      </c>
      <c r="Q169" s="56">
        <f t="shared" si="44"/>
        <v>102</v>
      </c>
      <c r="R169" s="48">
        <f t="shared" si="45"/>
        <v>1898</v>
      </c>
      <c r="S169" s="52">
        <v>156</v>
      </c>
      <c r="T169" s="52">
        <v>1024</v>
      </c>
      <c r="U169" s="52">
        <f>T169/F169</f>
        <v>8.5333333333333332</v>
      </c>
      <c r="V169" s="52">
        <v>429</v>
      </c>
      <c r="W169" s="52">
        <v>0</v>
      </c>
      <c r="X169" s="53">
        <f>275+14</f>
        <v>289</v>
      </c>
      <c r="Y169" s="42"/>
      <c r="Z169" s="40" t="s">
        <v>233</v>
      </c>
      <c r="AA169" s="40" t="s">
        <v>336</v>
      </c>
      <c r="AC169" s="159"/>
      <c r="AD169" s="159"/>
      <c r="AE169" s="159"/>
      <c r="AF169" s="159">
        <v>429</v>
      </c>
      <c r="AG169" s="159"/>
      <c r="AH169" s="159"/>
      <c r="AI169" s="159"/>
      <c r="AJ169" s="159"/>
      <c r="AK169" s="161"/>
      <c r="AL169" s="161"/>
      <c r="AM169" s="159"/>
      <c r="AN169" s="161"/>
      <c r="AO169" s="159"/>
      <c r="AP169" s="159"/>
      <c r="AQ169" s="159"/>
      <c r="AR169" s="164"/>
    </row>
    <row r="170" spans="1:45" ht="11.45" customHeight="1" x14ac:dyDescent="0.3">
      <c r="A170" s="291"/>
      <c r="B170" s="291" t="s">
        <v>202</v>
      </c>
      <c r="C170" s="293" t="s">
        <v>36</v>
      </c>
      <c r="D170" s="7" t="s">
        <v>222</v>
      </c>
      <c r="E170" s="76">
        <v>9810592000407</v>
      </c>
      <c r="F170" s="12">
        <v>100</v>
      </c>
      <c r="G170" s="8" t="s">
        <v>8</v>
      </c>
      <c r="H170" s="26" t="s">
        <v>27</v>
      </c>
      <c r="I170" s="26" t="s">
        <v>35</v>
      </c>
      <c r="J170" s="26" t="s">
        <v>76</v>
      </c>
      <c r="K170" s="67">
        <v>18000</v>
      </c>
      <c r="L170" s="134"/>
      <c r="M170" s="157"/>
      <c r="N170" s="131"/>
      <c r="O170" s="132"/>
      <c r="P170" s="73">
        <v>1700</v>
      </c>
      <c r="Q170" s="56">
        <f t="shared" si="44"/>
        <v>220.5</v>
      </c>
      <c r="R170" s="48">
        <f t="shared" si="45"/>
        <v>1479.5</v>
      </c>
      <c r="S170" s="52">
        <v>590</v>
      </c>
      <c r="T170" s="52">
        <v>334</v>
      </c>
      <c r="U170" s="52">
        <f t="shared" ref="U170:U174" si="46">T170/F170</f>
        <v>3.34</v>
      </c>
      <c r="V170" s="52">
        <v>407</v>
      </c>
      <c r="W170" s="53">
        <f>135*1.1</f>
        <v>148.5</v>
      </c>
      <c r="X170" s="52"/>
      <c r="Y170" s="42"/>
      <c r="Z170" s="40" t="s">
        <v>233</v>
      </c>
      <c r="AA170" s="40" t="s">
        <v>336</v>
      </c>
      <c r="AC170" s="159"/>
      <c r="AD170" s="159">
        <v>429</v>
      </c>
      <c r="AE170" s="159">
        <v>526</v>
      </c>
      <c r="AF170" s="159">
        <v>407</v>
      </c>
      <c r="AG170" s="159"/>
      <c r="AH170" s="159"/>
      <c r="AI170" s="159"/>
      <c r="AJ170" s="159"/>
      <c r="AK170" s="161">
        <v>148.5</v>
      </c>
      <c r="AL170" s="161"/>
      <c r="AM170" s="159"/>
      <c r="AN170" s="161"/>
      <c r="AO170" s="159"/>
      <c r="AP170" s="159"/>
      <c r="AQ170" s="159"/>
      <c r="AR170" s="164"/>
    </row>
    <row r="171" spans="1:45" ht="11.45" customHeight="1" x14ac:dyDescent="0.3">
      <c r="A171" s="291"/>
      <c r="B171" s="291"/>
      <c r="C171" s="293"/>
      <c r="D171" s="7" t="s">
        <v>223</v>
      </c>
      <c r="E171" s="76">
        <v>9810592000408</v>
      </c>
      <c r="F171" s="12">
        <v>100</v>
      </c>
      <c r="G171" s="8" t="s">
        <v>8</v>
      </c>
      <c r="H171" s="26" t="s">
        <v>27</v>
      </c>
      <c r="I171" s="26" t="s">
        <v>97</v>
      </c>
      <c r="J171" s="26" t="s">
        <v>76</v>
      </c>
      <c r="K171" s="67">
        <v>17000</v>
      </c>
      <c r="L171" s="134"/>
      <c r="M171" s="157"/>
      <c r="N171" s="131"/>
      <c r="O171" s="132"/>
      <c r="P171" s="73">
        <v>2200</v>
      </c>
      <c r="Q171" s="56">
        <f t="shared" si="44"/>
        <v>203.5</v>
      </c>
      <c r="R171" s="48">
        <f t="shared" si="45"/>
        <v>1996.5</v>
      </c>
      <c r="S171" s="52">
        <v>690</v>
      </c>
      <c r="T171" s="52">
        <v>509</v>
      </c>
      <c r="U171" s="52">
        <f t="shared" si="46"/>
        <v>5.09</v>
      </c>
      <c r="V171" s="53">
        <f>418+121+49.5</f>
        <v>588.5</v>
      </c>
      <c r="W171" s="52">
        <v>209</v>
      </c>
      <c r="X171" s="52"/>
      <c r="Y171" s="42"/>
      <c r="Z171" s="40" t="s">
        <v>233</v>
      </c>
      <c r="AA171" s="40" t="s">
        <v>336</v>
      </c>
      <c r="AC171" s="159"/>
      <c r="AD171" s="159">
        <v>660</v>
      </c>
      <c r="AE171" s="159">
        <v>539</v>
      </c>
      <c r="AF171" s="159">
        <v>418</v>
      </c>
      <c r="AG171" s="159">
        <v>121</v>
      </c>
      <c r="AH171" s="159"/>
      <c r="AI171" s="159">
        <v>50</v>
      </c>
      <c r="AJ171" s="159"/>
      <c r="AK171" s="161">
        <v>127</v>
      </c>
      <c r="AL171" s="161"/>
      <c r="AM171" s="159"/>
      <c r="AN171" s="161"/>
      <c r="AO171" s="159"/>
      <c r="AP171" s="159"/>
      <c r="AQ171" s="159"/>
      <c r="AR171" s="164"/>
    </row>
    <row r="172" spans="1:45" ht="11.45" customHeight="1" x14ac:dyDescent="0.3">
      <c r="A172" s="291"/>
      <c r="B172" s="291" t="s">
        <v>229</v>
      </c>
      <c r="C172" s="293" t="s">
        <v>318</v>
      </c>
      <c r="D172" s="7" t="s">
        <v>306</v>
      </c>
      <c r="E172" s="76">
        <v>9810592000229</v>
      </c>
      <c r="F172" s="12">
        <v>20</v>
      </c>
      <c r="G172" s="8" t="s">
        <v>307</v>
      </c>
      <c r="H172" s="26"/>
      <c r="I172" s="26"/>
      <c r="J172" s="26"/>
      <c r="K172" s="67">
        <v>1000</v>
      </c>
      <c r="L172" s="134">
        <v>160</v>
      </c>
      <c r="M172" s="157"/>
      <c r="N172" s="131"/>
      <c r="O172" s="132"/>
      <c r="P172" s="73">
        <v>150</v>
      </c>
      <c r="Q172" s="56">
        <f t="shared" si="44"/>
        <v>20.099999999999994</v>
      </c>
      <c r="R172" s="48">
        <f t="shared" si="45"/>
        <v>129.9</v>
      </c>
      <c r="S172" s="52">
        <v>1.5</v>
      </c>
      <c r="T172" s="52">
        <v>123.2</v>
      </c>
      <c r="U172" s="52"/>
      <c r="V172" s="53"/>
      <c r="W172" s="52"/>
      <c r="X172" s="52">
        <v>5.2</v>
      </c>
      <c r="Y172" s="42"/>
      <c r="Z172" s="40" t="s">
        <v>308</v>
      </c>
      <c r="AA172" s="40" t="s">
        <v>497</v>
      </c>
      <c r="AC172" s="159"/>
      <c r="AD172" s="159"/>
      <c r="AE172" s="159"/>
      <c r="AF172" s="159"/>
      <c r="AG172" s="159"/>
      <c r="AH172" s="159"/>
      <c r="AI172" s="159"/>
      <c r="AJ172" s="159"/>
      <c r="AK172" s="161"/>
      <c r="AL172" s="161"/>
      <c r="AM172" s="159"/>
      <c r="AN172" s="161"/>
      <c r="AO172" s="159"/>
      <c r="AP172" s="159"/>
      <c r="AQ172" s="159"/>
      <c r="AR172" s="164"/>
    </row>
    <row r="173" spans="1:45" ht="11.45" customHeight="1" x14ac:dyDescent="0.3">
      <c r="A173" s="291"/>
      <c r="B173" s="291"/>
      <c r="C173" s="293"/>
      <c r="D173" s="7" t="s">
        <v>316</v>
      </c>
      <c r="E173" s="76">
        <v>9810592000228</v>
      </c>
      <c r="F173" s="12">
        <v>20</v>
      </c>
      <c r="G173" s="8" t="s">
        <v>307</v>
      </c>
      <c r="H173" s="26"/>
      <c r="I173" s="26"/>
      <c r="J173" s="26"/>
      <c r="K173" s="67">
        <v>1000</v>
      </c>
      <c r="L173" s="134">
        <v>160</v>
      </c>
      <c r="M173" s="157"/>
      <c r="N173" s="131"/>
      <c r="O173" s="132"/>
      <c r="P173" s="73">
        <v>150</v>
      </c>
      <c r="Q173" s="56">
        <f t="shared" si="44"/>
        <v>20.099999999999994</v>
      </c>
      <c r="R173" s="48">
        <f t="shared" si="45"/>
        <v>129.9</v>
      </c>
      <c r="S173" s="52">
        <v>1.5</v>
      </c>
      <c r="T173" s="52">
        <v>123.2</v>
      </c>
      <c r="U173" s="52"/>
      <c r="V173" s="53"/>
      <c r="W173" s="52"/>
      <c r="X173" s="52">
        <v>5.2</v>
      </c>
      <c r="Y173" s="42"/>
      <c r="Z173" s="40" t="s">
        <v>308</v>
      </c>
      <c r="AA173" s="40" t="s">
        <v>497</v>
      </c>
      <c r="AC173" s="159"/>
      <c r="AD173" s="159"/>
      <c r="AE173" s="159"/>
      <c r="AF173" s="159"/>
      <c r="AG173" s="159"/>
      <c r="AH173" s="159"/>
      <c r="AI173" s="159"/>
      <c r="AJ173" s="159"/>
      <c r="AK173" s="161"/>
      <c r="AL173" s="161"/>
      <c r="AM173" s="159"/>
      <c r="AN173" s="161"/>
      <c r="AO173" s="159"/>
      <c r="AP173" s="159"/>
      <c r="AQ173" s="159"/>
      <c r="AR173" s="164"/>
    </row>
    <row r="174" spans="1:45" ht="11.45" customHeight="1" x14ac:dyDescent="0.3">
      <c r="A174" s="291"/>
      <c r="B174" s="78" t="s">
        <v>229</v>
      </c>
      <c r="C174" s="79" t="s">
        <v>89</v>
      </c>
      <c r="D174" s="7" t="s">
        <v>224</v>
      </c>
      <c r="E174" s="76">
        <v>9810592000409</v>
      </c>
      <c r="F174" s="16">
        <v>5</v>
      </c>
      <c r="G174" s="8" t="s">
        <v>82</v>
      </c>
      <c r="H174" s="26" t="s">
        <v>10</v>
      </c>
      <c r="I174" s="26" t="s">
        <v>37</v>
      </c>
      <c r="J174" s="47" t="s">
        <v>76</v>
      </c>
      <c r="K174" s="67">
        <v>15000</v>
      </c>
      <c r="L174" s="134"/>
      <c r="M174" s="157"/>
      <c r="N174" s="131"/>
      <c r="O174" s="132"/>
      <c r="P174" s="73">
        <v>2800</v>
      </c>
      <c r="Q174" s="56">
        <f t="shared" si="44"/>
        <v>140</v>
      </c>
      <c r="R174" s="112">
        <f t="shared" si="45"/>
        <v>2660</v>
      </c>
      <c r="S174" s="52"/>
      <c r="T174" s="57">
        <f>500*5</f>
        <v>2500</v>
      </c>
      <c r="U174" s="52">
        <f t="shared" si="46"/>
        <v>500</v>
      </c>
      <c r="V174" s="52">
        <v>0</v>
      </c>
      <c r="W174" s="52">
        <v>160</v>
      </c>
      <c r="X174" s="52"/>
      <c r="Y174" s="42"/>
      <c r="Z174" s="40" t="s">
        <v>233</v>
      </c>
      <c r="AA174" s="40" t="s">
        <v>336</v>
      </c>
      <c r="AC174" s="159"/>
      <c r="AD174" s="159">
        <v>420.5</v>
      </c>
      <c r="AE174" s="159">
        <v>106.4</v>
      </c>
      <c r="AF174" s="160">
        <v>0</v>
      </c>
      <c r="AG174" s="159"/>
      <c r="AH174" s="159"/>
      <c r="AI174" s="159"/>
      <c r="AJ174" s="159"/>
      <c r="AK174" s="161">
        <v>160</v>
      </c>
      <c r="AL174" s="161"/>
      <c r="AM174" s="159"/>
      <c r="AN174" s="161"/>
      <c r="AO174" s="159"/>
      <c r="AP174" s="159"/>
      <c r="AQ174" s="159"/>
      <c r="AR174" s="164"/>
    </row>
    <row r="175" spans="1:45" x14ac:dyDescent="0.3">
      <c r="A175" s="37"/>
      <c r="B175" s="37"/>
      <c r="C175" s="59"/>
      <c r="D175" s="1"/>
      <c r="E175" s="1"/>
      <c r="F175" s="13"/>
      <c r="G175" s="14"/>
      <c r="H175" s="21"/>
      <c r="I175" s="21"/>
      <c r="J175" s="21"/>
      <c r="R175" s="30"/>
      <c r="AK175" s="161"/>
      <c r="AN175" s="161"/>
      <c r="AR175" s="164"/>
    </row>
    <row r="176" spans="1:45" x14ac:dyDescent="0.3">
      <c r="A176" s="37" t="s">
        <v>330</v>
      </c>
      <c r="B176" s="37"/>
      <c r="C176" s="59"/>
      <c r="D176" s="1"/>
      <c r="E176" s="1"/>
      <c r="F176" s="13"/>
      <c r="G176" s="14"/>
      <c r="H176" s="21"/>
      <c r="I176" s="21"/>
      <c r="J176" s="21"/>
      <c r="R176" s="30"/>
      <c r="AK176" s="161"/>
      <c r="AN176" s="161"/>
      <c r="AR176" s="164"/>
    </row>
    <row r="177" spans="1:44" ht="10.9" customHeight="1" x14ac:dyDescent="0.3">
      <c r="A177" s="291" t="s">
        <v>286</v>
      </c>
      <c r="B177" s="291" t="s">
        <v>285</v>
      </c>
      <c r="C177" s="292" t="s">
        <v>287</v>
      </c>
      <c r="D177" s="23" t="s">
        <v>273</v>
      </c>
      <c r="E177" s="77">
        <v>9810592000266</v>
      </c>
      <c r="F177" s="27">
        <v>50</v>
      </c>
      <c r="G177" s="16" t="s">
        <v>179</v>
      </c>
      <c r="H177" s="26" t="s">
        <v>70</v>
      </c>
      <c r="I177" s="26"/>
      <c r="J177" s="28"/>
      <c r="K177" s="67">
        <v>23000</v>
      </c>
      <c r="L177" s="131">
        <f>K177*20%</f>
        <v>4600</v>
      </c>
      <c r="M177" s="157">
        <f t="shared" ref="M177:M198" si="47">(L177-P177)/K177</f>
        <v>7.8260869565217397E-2</v>
      </c>
      <c r="N177" s="131">
        <f t="shared" ref="N177:N198" si="48">K177*60%</f>
        <v>13800</v>
      </c>
      <c r="O177" s="132">
        <f t="shared" ref="O177:O198" si="49">(N177-P177)/K177</f>
        <v>0.47826086956521741</v>
      </c>
      <c r="P177" s="73">
        <v>2800</v>
      </c>
      <c r="Q177" s="56">
        <f t="shared" ref="Q177" si="50">P177-R177</f>
        <v>193</v>
      </c>
      <c r="R177" s="49">
        <f>S177+T177+V177+W177+X177</f>
        <v>2607</v>
      </c>
      <c r="S177" s="73"/>
      <c r="T177" s="73">
        <v>770</v>
      </c>
      <c r="U177" s="56">
        <f>T177/F177</f>
        <v>15.4</v>
      </c>
      <c r="V177" s="73">
        <f>1560*1.1</f>
        <v>1716.0000000000002</v>
      </c>
      <c r="W177" s="56">
        <v>121</v>
      </c>
      <c r="X177" s="56"/>
      <c r="AK177" s="161"/>
      <c r="AN177" s="161"/>
      <c r="AR177" s="164"/>
    </row>
    <row r="178" spans="1:44" x14ac:dyDescent="0.3">
      <c r="A178" s="291"/>
      <c r="B178" s="291"/>
      <c r="C178" s="292"/>
      <c r="D178" s="23" t="s">
        <v>274</v>
      </c>
      <c r="E178" s="77">
        <v>9810592000265</v>
      </c>
      <c r="F178" s="27">
        <v>50</v>
      </c>
      <c r="G178" s="16" t="s">
        <v>179</v>
      </c>
      <c r="H178" s="26" t="s">
        <v>70</v>
      </c>
      <c r="I178" s="28"/>
      <c r="J178" s="28"/>
      <c r="K178" s="67">
        <v>23000</v>
      </c>
      <c r="L178" s="131">
        <f t="shared" ref="L178:L198" si="51">K178*20%</f>
        <v>4600</v>
      </c>
      <c r="M178" s="157">
        <f t="shared" si="47"/>
        <v>7.8260869565217397E-2</v>
      </c>
      <c r="N178" s="131">
        <f t="shared" si="48"/>
        <v>13800</v>
      </c>
      <c r="O178" s="132">
        <f t="shared" si="49"/>
        <v>0.47826086956521741</v>
      </c>
      <c r="P178" s="73">
        <v>2800</v>
      </c>
      <c r="Q178" s="56">
        <f>P178-R178</f>
        <v>193</v>
      </c>
      <c r="R178" s="49">
        <f>S178+T178+V178+W178+X178</f>
        <v>2607</v>
      </c>
      <c r="S178" s="55"/>
      <c r="T178" s="56">
        <v>770</v>
      </c>
      <c r="U178" s="56">
        <f t="shared" ref="U178:U198" si="52">T178/F178</f>
        <v>15.4</v>
      </c>
      <c r="V178" s="73">
        <f t="shared" ref="V178:V183" si="53">1560*1.1</f>
        <v>1716.0000000000002</v>
      </c>
      <c r="W178" s="56">
        <v>121</v>
      </c>
      <c r="X178" s="52"/>
      <c r="AK178" s="161"/>
      <c r="AN178" s="161"/>
      <c r="AR178" s="164"/>
    </row>
    <row r="179" spans="1:44" x14ac:dyDescent="0.3">
      <c r="A179" s="291"/>
      <c r="B179" s="291"/>
      <c r="C179" s="292"/>
      <c r="D179" s="23" t="s">
        <v>275</v>
      </c>
      <c r="E179" s="77">
        <v>9810592000264</v>
      </c>
      <c r="F179" s="27">
        <v>50</v>
      </c>
      <c r="G179" s="16" t="s">
        <v>179</v>
      </c>
      <c r="H179" s="26" t="s">
        <v>70</v>
      </c>
      <c r="I179" s="28"/>
      <c r="J179" s="28"/>
      <c r="K179" s="67">
        <v>23000</v>
      </c>
      <c r="L179" s="131">
        <f t="shared" si="51"/>
        <v>4600</v>
      </c>
      <c r="M179" s="157">
        <f t="shared" si="47"/>
        <v>7.8260869565217397E-2</v>
      </c>
      <c r="N179" s="131">
        <f t="shared" si="48"/>
        <v>13800</v>
      </c>
      <c r="O179" s="132">
        <f t="shared" si="49"/>
        <v>0.47826086956521741</v>
      </c>
      <c r="P179" s="73">
        <v>2800</v>
      </c>
      <c r="Q179" s="56">
        <f t="shared" ref="Q179:Q199" si="54">P179-R179</f>
        <v>193</v>
      </c>
      <c r="R179" s="49">
        <f t="shared" ref="R179:R199" si="55">S179+T179+V179+W179+X179</f>
        <v>2607</v>
      </c>
      <c r="S179" s="55"/>
      <c r="T179" s="56">
        <v>770</v>
      </c>
      <c r="U179" s="56">
        <f t="shared" si="52"/>
        <v>15.4</v>
      </c>
      <c r="V179" s="73">
        <f t="shared" si="53"/>
        <v>1716.0000000000002</v>
      </c>
      <c r="W179" s="56">
        <v>121</v>
      </c>
      <c r="X179" s="56"/>
      <c r="AK179" s="161"/>
      <c r="AN179" s="161"/>
      <c r="AR179" s="164"/>
    </row>
    <row r="180" spans="1:44" x14ac:dyDescent="0.3">
      <c r="A180" s="291"/>
      <c r="B180" s="291"/>
      <c r="C180" s="292"/>
      <c r="D180" s="23" t="s">
        <v>276</v>
      </c>
      <c r="E180" s="77">
        <v>9810592000263</v>
      </c>
      <c r="F180" s="27">
        <v>50</v>
      </c>
      <c r="G180" s="16" t="s">
        <v>179</v>
      </c>
      <c r="H180" s="26" t="s">
        <v>70</v>
      </c>
      <c r="I180" s="28"/>
      <c r="J180" s="28"/>
      <c r="K180" s="67">
        <v>23000</v>
      </c>
      <c r="L180" s="131">
        <f t="shared" si="51"/>
        <v>4600</v>
      </c>
      <c r="M180" s="157">
        <f t="shared" si="47"/>
        <v>7.8260869565217397E-2</v>
      </c>
      <c r="N180" s="131">
        <f t="shared" si="48"/>
        <v>13800</v>
      </c>
      <c r="O180" s="132">
        <f t="shared" si="49"/>
        <v>0.47826086956521741</v>
      </c>
      <c r="P180" s="73">
        <v>2800</v>
      </c>
      <c r="Q180" s="56">
        <f t="shared" si="54"/>
        <v>83</v>
      </c>
      <c r="R180" s="49">
        <f t="shared" si="55"/>
        <v>2717</v>
      </c>
      <c r="S180" s="55"/>
      <c r="T180" s="56">
        <v>880</v>
      </c>
      <c r="U180" s="56">
        <f t="shared" si="52"/>
        <v>17.600000000000001</v>
      </c>
      <c r="V180" s="73">
        <f t="shared" si="53"/>
        <v>1716.0000000000002</v>
      </c>
      <c r="W180" s="56">
        <v>121</v>
      </c>
      <c r="X180" s="56"/>
      <c r="AK180" s="161"/>
      <c r="AN180" s="161"/>
      <c r="AR180" s="164"/>
    </row>
    <row r="181" spans="1:44" x14ac:dyDescent="0.3">
      <c r="A181" s="291"/>
      <c r="B181" s="291"/>
      <c r="C181" s="292"/>
      <c r="D181" s="23" t="s">
        <v>277</v>
      </c>
      <c r="E181" s="77">
        <v>9810592000262</v>
      </c>
      <c r="F181" s="27">
        <v>50</v>
      </c>
      <c r="G181" s="16" t="s">
        <v>179</v>
      </c>
      <c r="H181" s="26" t="s">
        <v>70</v>
      </c>
      <c r="I181" s="28"/>
      <c r="J181" s="28"/>
      <c r="K181" s="67">
        <v>23000</v>
      </c>
      <c r="L181" s="131">
        <f t="shared" si="51"/>
        <v>4600</v>
      </c>
      <c r="M181" s="157">
        <f t="shared" si="47"/>
        <v>7.8260869565217397E-2</v>
      </c>
      <c r="N181" s="131">
        <f t="shared" si="48"/>
        <v>13800</v>
      </c>
      <c r="O181" s="132">
        <f t="shared" si="49"/>
        <v>0.47826086956521741</v>
      </c>
      <c r="P181" s="73">
        <v>2800</v>
      </c>
      <c r="Q181" s="56">
        <f t="shared" si="54"/>
        <v>193</v>
      </c>
      <c r="R181" s="49">
        <f t="shared" si="55"/>
        <v>2607</v>
      </c>
      <c r="S181" s="55"/>
      <c r="T181" s="56">
        <v>770</v>
      </c>
      <c r="U181" s="56">
        <f t="shared" si="52"/>
        <v>15.4</v>
      </c>
      <c r="V181" s="73">
        <f t="shared" si="53"/>
        <v>1716.0000000000002</v>
      </c>
      <c r="W181" s="56">
        <v>121</v>
      </c>
      <c r="X181" s="56"/>
      <c r="AK181" s="161"/>
      <c r="AN181" s="161"/>
      <c r="AR181" s="164"/>
    </row>
    <row r="182" spans="1:44" x14ac:dyDescent="0.3">
      <c r="A182" s="291"/>
      <c r="B182" s="291"/>
      <c r="C182" s="292"/>
      <c r="D182" s="23" t="s">
        <v>278</v>
      </c>
      <c r="E182" s="77">
        <v>9810592000261</v>
      </c>
      <c r="F182" s="27">
        <v>50</v>
      </c>
      <c r="G182" s="16" t="s">
        <v>179</v>
      </c>
      <c r="H182" s="26" t="s">
        <v>70</v>
      </c>
      <c r="I182" s="28"/>
      <c r="J182" s="28"/>
      <c r="K182" s="67">
        <v>23000</v>
      </c>
      <c r="L182" s="131">
        <f t="shared" si="51"/>
        <v>4600</v>
      </c>
      <c r="M182" s="157">
        <f t="shared" si="47"/>
        <v>7.8260869565217397E-2</v>
      </c>
      <c r="N182" s="131">
        <f t="shared" si="48"/>
        <v>13800</v>
      </c>
      <c r="O182" s="132">
        <f t="shared" si="49"/>
        <v>0.47826086956521741</v>
      </c>
      <c r="P182" s="73">
        <v>2800</v>
      </c>
      <c r="Q182" s="56">
        <f t="shared" si="54"/>
        <v>83</v>
      </c>
      <c r="R182" s="49">
        <f t="shared" si="55"/>
        <v>2717</v>
      </c>
      <c r="S182" s="55"/>
      <c r="T182" s="56">
        <v>880</v>
      </c>
      <c r="U182" s="56">
        <f t="shared" si="52"/>
        <v>17.600000000000001</v>
      </c>
      <c r="V182" s="73">
        <f t="shared" si="53"/>
        <v>1716.0000000000002</v>
      </c>
      <c r="W182" s="56">
        <v>121</v>
      </c>
      <c r="X182" s="56"/>
      <c r="AK182" s="161"/>
      <c r="AN182" s="161"/>
      <c r="AR182" s="164"/>
    </row>
    <row r="183" spans="1:44" x14ac:dyDescent="0.3">
      <c r="A183" s="291"/>
      <c r="B183" s="291"/>
      <c r="C183" s="292"/>
      <c r="D183" s="23" t="s">
        <v>279</v>
      </c>
      <c r="E183" s="77">
        <v>9810592000260</v>
      </c>
      <c r="F183" s="27">
        <v>50</v>
      </c>
      <c r="G183" s="16" t="s">
        <v>179</v>
      </c>
      <c r="H183" s="26" t="s">
        <v>70</v>
      </c>
      <c r="I183" s="28"/>
      <c r="J183" s="28"/>
      <c r="K183" s="67">
        <v>23000</v>
      </c>
      <c r="L183" s="131">
        <f t="shared" si="51"/>
        <v>4600</v>
      </c>
      <c r="M183" s="157">
        <f t="shared" si="47"/>
        <v>7.8260869565217397E-2</v>
      </c>
      <c r="N183" s="131">
        <f t="shared" si="48"/>
        <v>13800</v>
      </c>
      <c r="O183" s="132">
        <f t="shared" si="49"/>
        <v>0.47826086956521741</v>
      </c>
      <c r="P183" s="73">
        <v>2800</v>
      </c>
      <c r="Q183" s="56">
        <f t="shared" si="54"/>
        <v>83</v>
      </c>
      <c r="R183" s="49">
        <f t="shared" si="55"/>
        <v>2717</v>
      </c>
      <c r="S183" s="55"/>
      <c r="T183" s="56">
        <v>880</v>
      </c>
      <c r="U183" s="56">
        <f t="shared" si="52"/>
        <v>17.600000000000001</v>
      </c>
      <c r="V183" s="73">
        <f t="shared" si="53"/>
        <v>1716.0000000000002</v>
      </c>
      <c r="W183" s="56">
        <v>121</v>
      </c>
      <c r="X183" s="56"/>
      <c r="AK183" s="161"/>
      <c r="AN183" s="161"/>
      <c r="AR183" s="164"/>
    </row>
    <row r="184" spans="1:44" x14ac:dyDescent="0.3">
      <c r="A184" s="291"/>
      <c r="B184" s="291"/>
      <c r="C184" s="292" t="s">
        <v>288</v>
      </c>
      <c r="D184" s="23" t="s">
        <v>280</v>
      </c>
      <c r="E184" s="77">
        <v>9810592000294</v>
      </c>
      <c r="F184" s="27">
        <v>200</v>
      </c>
      <c r="G184" s="16" t="s">
        <v>179</v>
      </c>
      <c r="H184" s="26" t="s">
        <v>70</v>
      </c>
      <c r="I184" s="28"/>
      <c r="J184" s="28"/>
      <c r="K184" s="67">
        <v>12000</v>
      </c>
      <c r="L184" s="131">
        <f t="shared" si="51"/>
        <v>2400</v>
      </c>
      <c r="M184" s="157">
        <f t="shared" si="47"/>
        <v>5.8333333333333334E-2</v>
      </c>
      <c r="N184" s="131">
        <f t="shared" si="48"/>
        <v>7200</v>
      </c>
      <c r="O184" s="132">
        <f t="shared" si="49"/>
        <v>0.45833333333333331</v>
      </c>
      <c r="P184" s="51">
        <v>1700</v>
      </c>
      <c r="Q184" s="56">
        <f t="shared" si="54"/>
        <v>567</v>
      </c>
      <c r="R184" s="49">
        <f t="shared" si="55"/>
        <v>1133</v>
      </c>
      <c r="S184" s="55"/>
      <c r="T184" s="56">
        <v>693</v>
      </c>
      <c r="U184" s="56">
        <f t="shared" si="52"/>
        <v>3.4649999999999999</v>
      </c>
      <c r="V184" s="73">
        <v>440</v>
      </c>
      <c r="W184" s="75"/>
      <c r="X184" s="56"/>
      <c r="AK184" s="161"/>
      <c r="AN184" s="161"/>
      <c r="AR184" s="164"/>
    </row>
    <row r="185" spans="1:44" x14ac:dyDescent="0.3">
      <c r="A185" s="291"/>
      <c r="B185" s="291"/>
      <c r="C185" s="292"/>
      <c r="D185" s="23" t="s">
        <v>281</v>
      </c>
      <c r="E185" s="77">
        <v>9810592000293</v>
      </c>
      <c r="F185" s="27">
        <v>200</v>
      </c>
      <c r="G185" s="16" t="s">
        <v>179</v>
      </c>
      <c r="H185" s="26" t="s">
        <v>70</v>
      </c>
      <c r="I185" s="28"/>
      <c r="J185" s="28"/>
      <c r="K185" s="67">
        <v>12000</v>
      </c>
      <c r="L185" s="131">
        <f t="shared" si="51"/>
        <v>2400</v>
      </c>
      <c r="M185" s="157">
        <f t="shared" si="47"/>
        <v>5.8333333333333334E-2</v>
      </c>
      <c r="N185" s="131">
        <f t="shared" si="48"/>
        <v>7200</v>
      </c>
      <c r="O185" s="132">
        <f t="shared" si="49"/>
        <v>0.45833333333333331</v>
      </c>
      <c r="P185" s="51">
        <v>1700</v>
      </c>
      <c r="Q185" s="56">
        <f t="shared" si="54"/>
        <v>567</v>
      </c>
      <c r="R185" s="49">
        <f t="shared" si="55"/>
        <v>1133</v>
      </c>
      <c r="S185" s="55"/>
      <c r="T185" s="56">
        <v>693</v>
      </c>
      <c r="U185" s="56">
        <f t="shared" si="52"/>
        <v>3.4649999999999999</v>
      </c>
      <c r="V185" s="73">
        <v>440</v>
      </c>
      <c r="W185" s="75"/>
      <c r="X185" s="56"/>
      <c r="AK185" s="161"/>
      <c r="AN185" s="161"/>
      <c r="AR185" s="164"/>
    </row>
    <row r="186" spans="1:44" x14ac:dyDescent="0.3">
      <c r="A186" s="291"/>
      <c r="B186" s="291"/>
      <c r="C186" s="292"/>
      <c r="D186" s="23" t="s">
        <v>282</v>
      </c>
      <c r="E186" s="77">
        <v>9810592000292</v>
      </c>
      <c r="F186" s="27">
        <v>200</v>
      </c>
      <c r="G186" s="16" t="s">
        <v>179</v>
      </c>
      <c r="H186" s="26" t="s">
        <v>70</v>
      </c>
      <c r="I186" s="28"/>
      <c r="J186" s="28"/>
      <c r="K186" s="67">
        <v>12000</v>
      </c>
      <c r="L186" s="131">
        <f t="shared" si="51"/>
        <v>2400</v>
      </c>
      <c r="M186" s="157">
        <f t="shared" si="47"/>
        <v>5.8333333333333334E-2</v>
      </c>
      <c r="N186" s="131">
        <f t="shared" si="48"/>
        <v>7200</v>
      </c>
      <c r="O186" s="132">
        <f t="shared" si="49"/>
        <v>0.45833333333333331</v>
      </c>
      <c r="P186" s="51">
        <v>1700</v>
      </c>
      <c r="Q186" s="56">
        <f t="shared" si="54"/>
        <v>567</v>
      </c>
      <c r="R186" s="49">
        <f t="shared" si="55"/>
        <v>1133</v>
      </c>
      <c r="S186" s="55"/>
      <c r="T186" s="56">
        <v>693</v>
      </c>
      <c r="U186" s="56">
        <f t="shared" si="52"/>
        <v>3.4649999999999999</v>
      </c>
      <c r="V186" s="73">
        <v>440</v>
      </c>
      <c r="W186" s="75"/>
      <c r="X186" s="56"/>
      <c r="AK186" s="161"/>
      <c r="AN186" s="161"/>
      <c r="AR186" s="164"/>
    </row>
    <row r="187" spans="1:44" x14ac:dyDescent="0.3">
      <c r="A187" s="291"/>
      <c r="B187" s="291"/>
      <c r="C187" s="292"/>
      <c r="D187" s="23" t="s">
        <v>283</v>
      </c>
      <c r="E187" s="77">
        <v>9810592000291</v>
      </c>
      <c r="F187" s="27">
        <v>200</v>
      </c>
      <c r="G187" s="16" t="s">
        <v>179</v>
      </c>
      <c r="H187" s="26" t="s">
        <v>70</v>
      </c>
      <c r="I187" s="28"/>
      <c r="J187" s="28"/>
      <c r="K187" s="67">
        <v>12000</v>
      </c>
      <c r="L187" s="131">
        <f t="shared" si="51"/>
        <v>2400</v>
      </c>
      <c r="M187" s="157">
        <f t="shared" si="47"/>
        <v>5.8333333333333334E-2</v>
      </c>
      <c r="N187" s="131">
        <f t="shared" si="48"/>
        <v>7200</v>
      </c>
      <c r="O187" s="132">
        <f t="shared" si="49"/>
        <v>0.45833333333333331</v>
      </c>
      <c r="P187" s="51">
        <v>1700</v>
      </c>
      <c r="Q187" s="56">
        <f t="shared" si="54"/>
        <v>567</v>
      </c>
      <c r="R187" s="49">
        <f t="shared" si="55"/>
        <v>1133</v>
      </c>
      <c r="S187" s="55"/>
      <c r="T187" s="56">
        <v>693</v>
      </c>
      <c r="U187" s="56">
        <f t="shared" si="52"/>
        <v>3.4649999999999999</v>
      </c>
      <c r="V187" s="73">
        <v>440</v>
      </c>
      <c r="W187" s="75"/>
      <c r="X187" s="56"/>
      <c r="AK187" s="161"/>
      <c r="AN187" s="161"/>
      <c r="AR187" s="164"/>
    </row>
    <row r="188" spans="1:44" x14ac:dyDescent="0.3">
      <c r="A188" s="291"/>
      <c r="B188" s="291"/>
      <c r="C188" s="292"/>
      <c r="D188" s="23" t="s">
        <v>284</v>
      </c>
      <c r="E188" s="77">
        <v>9810592000290</v>
      </c>
      <c r="F188" s="27">
        <v>200</v>
      </c>
      <c r="G188" s="16" t="s">
        <v>179</v>
      </c>
      <c r="H188" s="26" t="s">
        <v>70</v>
      </c>
      <c r="I188" s="28"/>
      <c r="J188" s="28"/>
      <c r="K188" s="67">
        <v>12000</v>
      </c>
      <c r="L188" s="131">
        <f t="shared" si="51"/>
        <v>2400</v>
      </c>
      <c r="M188" s="157">
        <f t="shared" si="47"/>
        <v>5.8333333333333334E-2</v>
      </c>
      <c r="N188" s="131">
        <f t="shared" si="48"/>
        <v>7200</v>
      </c>
      <c r="O188" s="132">
        <f t="shared" si="49"/>
        <v>0.45833333333333331</v>
      </c>
      <c r="P188" s="51">
        <v>1700</v>
      </c>
      <c r="Q188" s="56">
        <f t="shared" si="54"/>
        <v>567</v>
      </c>
      <c r="R188" s="49">
        <f t="shared" si="55"/>
        <v>1133</v>
      </c>
      <c r="S188" s="55"/>
      <c r="T188" s="56">
        <v>693</v>
      </c>
      <c r="U188" s="56">
        <f t="shared" si="52"/>
        <v>3.4649999999999999</v>
      </c>
      <c r="V188" s="73">
        <v>440</v>
      </c>
      <c r="W188" s="75"/>
      <c r="X188" s="56"/>
      <c r="AK188" s="161"/>
      <c r="AN188" s="161"/>
      <c r="AR188" s="164"/>
    </row>
    <row r="189" spans="1:44" x14ac:dyDescent="0.3">
      <c r="A189" s="291"/>
      <c r="B189" s="291"/>
      <c r="C189" s="292"/>
      <c r="D189" s="23" t="s">
        <v>301</v>
      </c>
      <c r="E189" s="77">
        <v>9810592000282</v>
      </c>
      <c r="F189" s="27">
        <v>500</v>
      </c>
      <c r="G189" s="16" t="s">
        <v>179</v>
      </c>
      <c r="H189" s="26"/>
      <c r="I189" s="28"/>
      <c r="J189" s="28"/>
      <c r="K189" s="67">
        <v>12000</v>
      </c>
      <c r="L189" s="131">
        <f t="shared" si="51"/>
        <v>2400</v>
      </c>
      <c r="M189" s="157">
        <f t="shared" si="47"/>
        <v>3.3333333333333333E-2</v>
      </c>
      <c r="N189" s="131">
        <f t="shared" si="48"/>
        <v>7200</v>
      </c>
      <c r="O189" s="132">
        <f t="shared" si="49"/>
        <v>0.43333333333333335</v>
      </c>
      <c r="P189" s="51">
        <v>2000</v>
      </c>
      <c r="Q189" s="56"/>
      <c r="R189" s="49">
        <f t="shared" si="55"/>
        <v>1928.3</v>
      </c>
      <c r="S189" s="55"/>
      <c r="T189" s="56">
        <v>1430</v>
      </c>
      <c r="U189" s="56">
        <f t="shared" si="52"/>
        <v>2.86</v>
      </c>
      <c r="V189" s="73">
        <v>308</v>
      </c>
      <c r="W189" s="75"/>
      <c r="X189" s="56">
        <v>190.3</v>
      </c>
      <c r="AK189" s="161"/>
      <c r="AN189" s="161"/>
      <c r="AR189" s="164"/>
    </row>
    <row r="190" spans="1:44" x14ac:dyDescent="0.3">
      <c r="A190" s="291"/>
      <c r="B190" s="291"/>
      <c r="C190" s="292"/>
      <c r="D190" s="23" t="s">
        <v>302</v>
      </c>
      <c r="E190" s="77">
        <v>9810592000278</v>
      </c>
      <c r="F190" s="27">
        <v>500</v>
      </c>
      <c r="G190" s="16" t="s">
        <v>179</v>
      </c>
      <c r="H190" s="26"/>
      <c r="I190" s="28"/>
      <c r="J190" s="28"/>
      <c r="K190" s="67">
        <v>12000</v>
      </c>
      <c r="L190" s="131">
        <f t="shared" si="51"/>
        <v>2400</v>
      </c>
      <c r="M190" s="157">
        <f t="shared" si="47"/>
        <v>3.3333333333333333E-2</v>
      </c>
      <c r="N190" s="131">
        <f t="shared" si="48"/>
        <v>7200</v>
      </c>
      <c r="O190" s="132">
        <f t="shared" si="49"/>
        <v>0.43333333333333335</v>
      </c>
      <c r="P190" s="51">
        <v>2000</v>
      </c>
      <c r="Q190" s="56"/>
      <c r="R190" s="49">
        <f t="shared" si="55"/>
        <v>1928.3</v>
      </c>
      <c r="S190" s="55"/>
      <c r="T190" s="56">
        <v>1430</v>
      </c>
      <c r="U190" s="56">
        <f t="shared" si="52"/>
        <v>2.86</v>
      </c>
      <c r="V190" s="73">
        <v>308</v>
      </c>
      <c r="W190" s="75"/>
      <c r="X190" s="56">
        <v>190.3</v>
      </c>
      <c r="AK190" s="161"/>
      <c r="AN190" s="161"/>
      <c r="AR190" s="164"/>
    </row>
    <row r="191" spans="1:44" x14ac:dyDescent="0.3">
      <c r="A191" s="291"/>
      <c r="B191" s="291"/>
      <c r="C191" s="292"/>
      <c r="D191" s="23" t="s">
        <v>303</v>
      </c>
      <c r="E191" s="77">
        <v>9810592000276</v>
      </c>
      <c r="F191" s="27">
        <v>500</v>
      </c>
      <c r="G191" s="16" t="s">
        <v>179</v>
      </c>
      <c r="H191" s="26"/>
      <c r="I191" s="28"/>
      <c r="J191" s="28"/>
      <c r="K191" s="67">
        <v>12000</v>
      </c>
      <c r="L191" s="131">
        <f t="shared" si="51"/>
        <v>2400</v>
      </c>
      <c r="M191" s="157">
        <f t="shared" si="47"/>
        <v>3.3333333333333333E-2</v>
      </c>
      <c r="N191" s="131">
        <f t="shared" si="48"/>
        <v>7200</v>
      </c>
      <c r="O191" s="132">
        <f t="shared" si="49"/>
        <v>0.43333333333333335</v>
      </c>
      <c r="P191" s="51">
        <v>2000</v>
      </c>
      <c r="Q191" s="56"/>
      <c r="R191" s="49">
        <f t="shared" si="55"/>
        <v>1928.3</v>
      </c>
      <c r="S191" s="55"/>
      <c r="T191" s="56">
        <v>1430</v>
      </c>
      <c r="U191" s="56">
        <f t="shared" si="52"/>
        <v>2.86</v>
      </c>
      <c r="V191" s="73">
        <v>308</v>
      </c>
      <c r="W191" s="75"/>
      <c r="X191" s="56">
        <v>190.3</v>
      </c>
      <c r="AK191" s="161"/>
      <c r="AN191" s="161"/>
      <c r="AR191" s="164"/>
    </row>
    <row r="192" spans="1:44" x14ac:dyDescent="0.3">
      <c r="A192" s="291"/>
      <c r="B192" s="291"/>
      <c r="C192" s="292"/>
      <c r="D192" s="23" t="s">
        <v>304</v>
      </c>
      <c r="E192" s="77">
        <v>9810592000275</v>
      </c>
      <c r="F192" s="27">
        <v>500</v>
      </c>
      <c r="G192" s="16" t="s">
        <v>179</v>
      </c>
      <c r="H192" s="26"/>
      <c r="I192" s="28"/>
      <c r="J192" s="28"/>
      <c r="K192" s="67">
        <v>12000</v>
      </c>
      <c r="L192" s="131">
        <f t="shared" si="51"/>
        <v>2400</v>
      </c>
      <c r="M192" s="157">
        <f t="shared" si="47"/>
        <v>3.3333333333333333E-2</v>
      </c>
      <c r="N192" s="131">
        <f t="shared" si="48"/>
        <v>7200</v>
      </c>
      <c r="O192" s="132">
        <f t="shared" si="49"/>
        <v>0.43333333333333335</v>
      </c>
      <c r="P192" s="51">
        <v>2000</v>
      </c>
      <c r="Q192" s="56"/>
      <c r="R192" s="49">
        <f t="shared" si="55"/>
        <v>1928.3</v>
      </c>
      <c r="S192" s="55"/>
      <c r="T192" s="56">
        <v>1430</v>
      </c>
      <c r="U192" s="56">
        <f t="shared" si="52"/>
        <v>2.86</v>
      </c>
      <c r="V192" s="73">
        <v>308</v>
      </c>
      <c r="W192" s="75"/>
      <c r="X192" s="56">
        <v>190.3</v>
      </c>
      <c r="AK192" s="161"/>
      <c r="AN192" s="161"/>
      <c r="AR192" s="164"/>
    </row>
    <row r="193" spans="1:44" x14ac:dyDescent="0.3">
      <c r="A193" s="291"/>
      <c r="B193" s="291"/>
      <c r="C193" s="292"/>
      <c r="D193" s="23" t="s">
        <v>305</v>
      </c>
      <c r="E193" s="77">
        <v>9810592000289</v>
      </c>
      <c r="F193" s="27">
        <v>500</v>
      </c>
      <c r="G193" s="16" t="s">
        <v>179</v>
      </c>
      <c r="H193" s="26"/>
      <c r="I193" s="28"/>
      <c r="J193" s="28"/>
      <c r="K193" s="67">
        <v>12000</v>
      </c>
      <c r="L193" s="131">
        <f t="shared" si="51"/>
        <v>2400</v>
      </c>
      <c r="M193" s="157">
        <f t="shared" si="47"/>
        <v>3.3333333333333333E-2</v>
      </c>
      <c r="N193" s="131">
        <f t="shared" si="48"/>
        <v>7200</v>
      </c>
      <c r="O193" s="132">
        <f t="shared" si="49"/>
        <v>0.43333333333333335</v>
      </c>
      <c r="P193" s="51">
        <v>2000</v>
      </c>
      <c r="Q193" s="56"/>
      <c r="R193" s="49">
        <f t="shared" si="55"/>
        <v>1928.3</v>
      </c>
      <c r="S193" s="55"/>
      <c r="T193" s="56">
        <v>1430</v>
      </c>
      <c r="U193" s="56">
        <f t="shared" si="52"/>
        <v>2.86</v>
      </c>
      <c r="V193" s="73">
        <v>308</v>
      </c>
      <c r="W193" s="75"/>
      <c r="X193" s="56">
        <v>190.3</v>
      </c>
      <c r="AK193" s="161"/>
      <c r="AN193" s="161"/>
      <c r="AR193" s="164"/>
    </row>
    <row r="194" spans="1:44" x14ac:dyDescent="0.3">
      <c r="A194" s="291"/>
      <c r="B194" s="291"/>
      <c r="C194" s="292" t="s">
        <v>289</v>
      </c>
      <c r="D194" s="23" t="s">
        <v>290</v>
      </c>
      <c r="E194" s="77">
        <v>9810592000271</v>
      </c>
      <c r="F194" s="27">
        <v>300</v>
      </c>
      <c r="G194" s="16" t="s">
        <v>179</v>
      </c>
      <c r="H194" s="26" t="s">
        <v>70</v>
      </c>
      <c r="I194" s="28"/>
      <c r="J194" s="28"/>
      <c r="K194" s="67">
        <v>17000</v>
      </c>
      <c r="L194" s="131">
        <f t="shared" si="51"/>
        <v>3400</v>
      </c>
      <c r="M194" s="157">
        <f t="shared" si="47"/>
        <v>7.6470588235294124E-2</v>
      </c>
      <c r="N194" s="131">
        <f t="shared" si="48"/>
        <v>10200</v>
      </c>
      <c r="O194" s="132">
        <f t="shared" si="49"/>
        <v>0.47647058823529409</v>
      </c>
      <c r="P194" s="51">
        <v>2100</v>
      </c>
      <c r="Q194" s="56">
        <f t="shared" si="54"/>
        <v>287</v>
      </c>
      <c r="R194" s="49">
        <f t="shared" si="55"/>
        <v>1813</v>
      </c>
      <c r="S194" s="55"/>
      <c r="T194" s="56">
        <v>1045</v>
      </c>
      <c r="U194" s="56">
        <f t="shared" si="52"/>
        <v>3.4833333333333334</v>
      </c>
      <c r="V194" s="73">
        <v>550</v>
      </c>
      <c r="W194" s="75"/>
      <c r="X194" s="56">
        <v>218</v>
      </c>
      <c r="AK194" s="161"/>
      <c r="AN194" s="161"/>
      <c r="AR194" s="164"/>
    </row>
    <row r="195" spans="1:44" x14ac:dyDescent="0.3">
      <c r="A195" s="291"/>
      <c r="B195" s="291"/>
      <c r="C195" s="292"/>
      <c r="D195" s="23" t="s">
        <v>291</v>
      </c>
      <c r="E195" s="77">
        <v>9810592000270</v>
      </c>
      <c r="F195" s="27">
        <v>300</v>
      </c>
      <c r="G195" s="16" t="s">
        <v>179</v>
      </c>
      <c r="H195" s="26" t="s">
        <v>70</v>
      </c>
      <c r="I195" s="28"/>
      <c r="J195" s="28"/>
      <c r="K195" s="67">
        <v>17000</v>
      </c>
      <c r="L195" s="131">
        <f t="shared" si="51"/>
        <v>3400</v>
      </c>
      <c r="M195" s="157">
        <f t="shared" si="47"/>
        <v>7.6470588235294124E-2</v>
      </c>
      <c r="N195" s="131">
        <f t="shared" si="48"/>
        <v>10200</v>
      </c>
      <c r="O195" s="132">
        <f t="shared" si="49"/>
        <v>0.47647058823529409</v>
      </c>
      <c r="P195" s="51">
        <v>2100</v>
      </c>
      <c r="Q195" s="56">
        <f t="shared" si="54"/>
        <v>287</v>
      </c>
      <c r="R195" s="49">
        <f t="shared" si="55"/>
        <v>1813</v>
      </c>
      <c r="S195" s="55"/>
      <c r="T195" s="56">
        <v>1045</v>
      </c>
      <c r="U195" s="56">
        <f t="shared" si="52"/>
        <v>3.4833333333333334</v>
      </c>
      <c r="V195" s="73">
        <v>550</v>
      </c>
      <c r="W195" s="75"/>
      <c r="X195" s="56">
        <v>218</v>
      </c>
      <c r="AK195" s="161"/>
      <c r="AN195" s="161"/>
      <c r="AR195" s="164"/>
    </row>
    <row r="196" spans="1:44" x14ac:dyDescent="0.3">
      <c r="A196" s="291"/>
      <c r="B196" s="291"/>
      <c r="C196" s="292"/>
      <c r="D196" s="23" t="s">
        <v>292</v>
      </c>
      <c r="E196" s="77">
        <v>9810592000269</v>
      </c>
      <c r="F196" s="27">
        <v>300</v>
      </c>
      <c r="G196" s="16" t="s">
        <v>179</v>
      </c>
      <c r="H196" s="26" t="s">
        <v>70</v>
      </c>
      <c r="I196" s="28"/>
      <c r="J196" s="28"/>
      <c r="K196" s="67">
        <v>17000</v>
      </c>
      <c r="L196" s="131">
        <f t="shared" si="51"/>
        <v>3400</v>
      </c>
      <c r="M196" s="157">
        <f t="shared" si="47"/>
        <v>7.6470588235294124E-2</v>
      </c>
      <c r="N196" s="131">
        <f t="shared" si="48"/>
        <v>10200</v>
      </c>
      <c r="O196" s="132">
        <f t="shared" si="49"/>
        <v>0.47647058823529409</v>
      </c>
      <c r="P196" s="51">
        <v>2100</v>
      </c>
      <c r="Q196" s="56">
        <f t="shared" si="54"/>
        <v>287</v>
      </c>
      <c r="R196" s="49">
        <f t="shared" si="55"/>
        <v>1813</v>
      </c>
      <c r="S196" s="55"/>
      <c r="T196" s="56">
        <v>1045</v>
      </c>
      <c r="U196" s="56">
        <f t="shared" si="52"/>
        <v>3.4833333333333334</v>
      </c>
      <c r="V196" s="73">
        <v>550</v>
      </c>
      <c r="W196" s="75"/>
      <c r="X196" s="56">
        <v>218</v>
      </c>
      <c r="AK196" s="161"/>
      <c r="AN196" s="161"/>
      <c r="AR196" s="164"/>
    </row>
    <row r="197" spans="1:44" x14ac:dyDescent="0.3">
      <c r="A197" s="291"/>
      <c r="B197" s="291"/>
      <c r="C197" s="292"/>
      <c r="D197" s="23" t="s">
        <v>293</v>
      </c>
      <c r="E197" s="77">
        <v>9810592000268</v>
      </c>
      <c r="F197" s="27">
        <v>300</v>
      </c>
      <c r="G197" s="16" t="s">
        <v>179</v>
      </c>
      <c r="H197" s="26" t="s">
        <v>70</v>
      </c>
      <c r="I197" s="28"/>
      <c r="J197" s="28"/>
      <c r="K197" s="67">
        <v>17000</v>
      </c>
      <c r="L197" s="131">
        <f t="shared" si="51"/>
        <v>3400</v>
      </c>
      <c r="M197" s="157">
        <f t="shared" si="47"/>
        <v>7.6470588235294124E-2</v>
      </c>
      <c r="N197" s="131">
        <f t="shared" si="48"/>
        <v>10200</v>
      </c>
      <c r="O197" s="132">
        <f t="shared" si="49"/>
        <v>0.47647058823529409</v>
      </c>
      <c r="P197" s="51">
        <v>2100</v>
      </c>
      <c r="Q197" s="56">
        <f t="shared" si="54"/>
        <v>287</v>
      </c>
      <c r="R197" s="49">
        <f t="shared" si="55"/>
        <v>1813</v>
      </c>
      <c r="S197" s="55"/>
      <c r="T197" s="56">
        <v>1045</v>
      </c>
      <c r="U197" s="56">
        <f t="shared" si="52"/>
        <v>3.4833333333333334</v>
      </c>
      <c r="V197" s="73">
        <v>550</v>
      </c>
      <c r="W197" s="75"/>
      <c r="X197" s="56">
        <v>218</v>
      </c>
      <c r="AK197" s="161"/>
      <c r="AN197" s="161"/>
      <c r="AR197" s="164"/>
    </row>
    <row r="198" spans="1:44" x14ac:dyDescent="0.3">
      <c r="A198" s="291"/>
      <c r="B198" s="291"/>
      <c r="C198" s="292"/>
      <c r="D198" s="23" t="s">
        <v>294</v>
      </c>
      <c r="E198" s="77">
        <v>9810592000267</v>
      </c>
      <c r="F198" s="27">
        <v>300</v>
      </c>
      <c r="G198" s="16" t="s">
        <v>179</v>
      </c>
      <c r="H198" s="26" t="s">
        <v>70</v>
      </c>
      <c r="I198" s="28"/>
      <c r="J198" s="28"/>
      <c r="K198" s="67">
        <v>17000</v>
      </c>
      <c r="L198" s="131">
        <f t="shared" si="51"/>
        <v>3400</v>
      </c>
      <c r="M198" s="157">
        <f t="shared" si="47"/>
        <v>7.6470588235294124E-2</v>
      </c>
      <c r="N198" s="131">
        <f t="shared" si="48"/>
        <v>10200</v>
      </c>
      <c r="O198" s="132">
        <f t="shared" si="49"/>
        <v>0.47647058823529409</v>
      </c>
      <c r="P198" s="51">
        <v>2100</v>
      </c>
      <c r="Q198" s="56">
        <f t="shared" si="54"/>
        <v>287</v>
      </c>
      <c r="R198" s="49">
        <f t="shared" si="55"/>
        <v>1813</v>
      </c>
      <c r="S198" s="55"/>
      <c r="T198" s="56">
        <v>1045</v>
      </c>
      <c r="U198" s="56">
        <f t="shared" si="52"/>
        <v>3.4833333333333334</v>
      </c>
      <c r="V198" s="73">
        <v>550</v>
      </c>
      <c r="W198" s="75"/>
      <c r="X198" s="56">
        <v>218</v>
      </c>
      <c r="AK198" s="161"/>
      <c r="AN198" s="161"/>
      <c r="AR198" s="164"/>
    </row>
    <row r="199" spans="1:44" x14ac:dyDescent="0.3">
      <c r="A199" s="114"/>
      <c r="B199" s="135"/>
      <c r="C199" s="136"/>
      <c r="D199" s="137"/>
      <c r="E199" s="138"/>
      <c r="F199" s="139"/>
      <c r="G199" s="140" t="s">
        <v>82</v>
      </c>
      <c r="H199" s="141"/>
      <c r="I199" s="141"/>
      <c r="J199" s="141"/>
      <c r="K199" s="142"/>
      <c r="P199" s="143"/>
      <c r="Q199" s="144">
        <f t="shared" si="54"/>
        <v>0</v>
      </c>
      <c r="R199" s="145">
        <f t="shared" si="55"/>
        <v>0</v>
      </c>
      <c r="S199" s="146"/>
      <c r="T199" s="144"/>
      <c r="U199" s="144"/>
      <c r="V199" s="147"/>
      <c r="W199" s="148"/>
      <c r="X199" s="144"/>
      <c r="AK199" s="161"/>
      <c r="AN199" s="161"/>
      <c r="AR199" s="164"/>
    </row>
    <row r="200" spans="1:44" x14ac:dyDescent="0.3">
      <c r="A200" s="37"/>
      <c r="B200" s="37"/>
      <c r="C200" s="59"/>
      <c r="D200" s="1"/>
      <c r="E200" s="1"/>
      <c r="F200" s="13"/>
      <c r="G200" s="14"/>
      <c r="H200" s="21"/>
      <c r="I200" s="21"/>
      <c r="J200" s="21"/>
      <c r="R200" s="30"/>
    </row>
    <row r="201" spans="1:44" x14ac:dyDescent="0.3">
      <c r="A201" s="37"/>
      <c r="B201" s="37"/>
      <c r="C201" s="59"/>
      <c r="D201" s="1"/>
      <c r="E201" s="1"/>
      <c r="F201" s="13"/>
      <c r="G201" s="14"/>
      <c r="H201" s="21"/>
      <c r="I201" s="21"/>
      <c r="J201" s="21"/>
      <c r="R201" s="30"/>
    </row>
    <row r="202" spans="1:44" x14ac:dyDescent="0.3">
      <c r="A202" s="37"/>
      <c r="B202" s="37"/>
      <c r="C202" s="59"/>
      <c r="D202" s="1"/>
      <c r="E202" s="1"/>
      <c r="F202" s="13"/>
      <c r="G202" s="14"/>
      <c r="H202" s="21"/>
      <c r="I202" s="21"/>
      <c r="J202" s="21"/>
      <c r="R202" s="30"/>
    </row>
    <row r="203" spans="1:44" x14ac:dyDescent="0.3">
      <c r="A203" s="37"/>
      <c r="B203" s="37"/>
      <c r="C203" s="59"/>
      <c r="D203" s="1"/>
      <c r="E203" s="1"/>
      <c r="F203" s="13"/>
      <c r="G203" s="14"/>
      <c r="H203" s="21"/>
      <c r="I203" s="21"/>
      <c r="J203" s="21"/>
      <c r="R203" s="30"/>
    </row>
    <row r="204" spans="1:44" x14ac:dyDescent="0.3">
      <c r="A204" s="37"/>
      <c r="B204" s="37"/>
      <c r="C204" s="59"/>
      <c r="D204" s="1"/>
      <c r="E204" s="1"/>
      <c r="F204" s="13"/>
      <c r="G204" s="14"/>
      <c r="H204" s="21"/>
      <c r="I204" s="21"/>
      <c r="J204" s="21"/>
      <c r="R204" s="30"/>
    </row>
    <row r="205" spans="1:44" x14ac:dyDescent="0.3">
      <c r="A205" s="37"/>
      <c r="B205" s="37"/>
      <c r="C205" s="59"/>
      <c r="D205" s="1"/>
      <c r="E205" s="1"/>
      <c r="F205" s="13"/>
      <c r="G205" s="14"/>
      <c r="H205" s="21"/>
      <c r="I205" s="21"/>
      <c r="J205" s="21"/>
      <c r="R205" s="30"/>
    </row>
    <row r="206" spans="1:44" x14ac:dyDescent="0.3">
      <c r="A206" s="37"/>
      <c r="B206" s="37"/>
      <c r="C206" s="59"/>
      <c r="D206" s="1"/>
      <c r="E206" s="1"/>
      <c r="F206" s="13"/>
      <c r="G206" s="14"/>
      <c r="H206" s="21"/>
      <c r="I206" s="21"/>
      <c r="J206" s="21"/>
      <c r="R206" s="30"/>
    </row>
    <row r="207" spans="1:44" x14ac:dyDescent="0.3">
      <c r="A207" s="37"/>
      <c r="B207" s="37"/>
      <c r="C207" s="59"/>
      <c r="D207" s="1"/>
      <c r="E207" s="1"/>
      <c r="F207" s="13"/>
      <c r="G207" s="14"/>
      <c r="H207" s="21"/>
      <c r="I207" s="21"/>
      <c r="J207" s="21"/>
      <c r="R207" s="30"/>
    </row>
    <row r="208" spans="1:44" x14ac:dyDescent="0.3">
      <c r="A208" s="37"/>
      <c r="B208" s="37"/>
      <c r="C208" s="59"/>
      <c r="D208" s="1"/>
      <c r="E208" s="1"/>
      <c r="F208" s="13"/>
      <c r="G208" s="14"/>
      <c r="H208" s="21"/>
      <c r="I208" s="21"/>
      <c r="J208" s="21"/>
      <c r="R208" s="30"/>
    </row>
    <row r="209" spans="1:18" x14ac:dyDescent="0.3">
      <c r="A209" s="37"/>
      <c r="B209" s="37"/>
      <c r="C209" s="59"/>
      <c r="D209" s="1"/>
      <c r="E209" s="1"/>
      <c r="F209" s="13"/>
      <c r="G209" s="14"/>
      <c r="H209" s="21"/>
      <c r="I209" s="21"/>
      <c r="J209" s="21"/>
      <c r="R209" s="30"/>
    </row>
    <row r="210" spans="1:18" x14ac:dyDescent="0.3">
      <c r="A210" s="37"/>
      <c r="B210" s="37"/>
      <c r="C210" s="59"/>
      <c r="D210" s="1"/>
      <c r="E210" s="1"/>
      <c r="F210" s="13"/>
      <c r="G210" s="14"/>
      <c r="H210" s="21"/>
      <c r="I210" s="21"/>
      <c r="J210" s="21"/>
      <c r="R210" s="30"/>
    </row>
    <row r="211" spans="1:18" x14ac:dyDescent="0.3">
      <c r="A211" s="37"/>
      <c r="B211" s="37"/>
      <c r="C211" s="59"/>
      <c r="D211" s="1"/>
      <c r="E211" s="1"/>
      <c r="F211" s="13"/>
      <c r="G211" s="14"/>
      <c r="H211" s="21"/>
      <c r="I211" s="21"/>
      <c r="J211" s="21"/>
      <c r="R211" s="30"/>
    </row>
    <row r="212" spans="1:18" x14ac:dyDescent="0.3">
      <c r="A212" s="37"/>
      <c r="B212" s="37"/>
      <c r="C212" s="59"/>
      <c r="D212" s="1"/>
      <c r="E212" s="1"/>
      <c r="F212" s="13"/>
      <c r="G212" s="14"/>
      <c r="H212" s="21"/>
      <c r="I212" s="21"/>
      <c r="J212" s="21"/>
      <c r="R212" s="30"/>
    </row>
    <row r="213" spans="1:18" x14ac:dyDescent="0.3">
      <c r="A213" s="37"/>
      <c r="B213" s="37"/>
      <c r="C213" s="59"/>
      <c r="D213" s="1"/>
      <c r="E213" s="1"/>
      <c r="F213" s="13"/>
      <c r="G213" s="14"/>
      <c r="H213" s="21"/>
      <c r="I213" s="21"/>
      <c r="J213" s="21"/>
      <c r="R213" s="30"/>
    </row>
    <row r="214" spans="1:18" x14ac:dyDescent="0.3">
      <c r="A214" s="37"/>
      <c r="B214" s="37"/>
      <c r="C214" s="59"/>
      <c r="D214" s="1"/>
      <c r="E214" s="1"/>
      <c r="F214" s="13"/>
      <c r="G214" s="14"/>
      <c r="H214" s="21"/>
      <c r="I214" s="21"/>
      <c r="J214" s="21"/>
      <c r="R214" s="30"/>
    </row>
    <row r="215" spans="1:18" x14ac:dyDescent="0.3">
      <c r="A215" s="37"/>
      <c r="B215" s="37"/>
      <c r="C215" s="59"/>
      <c r="D215" s="1"/>
      <c r="E215" s="1"/>
      <c r="F215" s="13"/>
      <c r="G215" s="14"/>
      <c r="H215" s="21"/>
      <c r="I215" s="21"/>
      <c r="J215" s="21"/>
      <c r="R215" s="30"/>
    </row>
    <row r="216" spans="1:18" x14ac:dyDescent="0.3">
      <c r="A216" s="37"/>
      <c r="B216" s="37"/>
      <c r="C216" s="59"/>
      <c r="D216" s="1"/>
      <c r="E216" s="1"/>
      <c r="F216" s="13"/>
      <c r="G216" s="14"/>
      <c r="H216" s="21"/>
      <c r="I216" s="21"/>
      <c r="J216" s="21"/>
      <c r="R216" s="30"/>
    </row>
    <row r="217" spans="1:18" x14ac:dyDescent="0.3">
      <c r="A217" s="37"/>
      <c r="B217" s="37"/>
      <c r="C217" s="59"/>
      <c r="D217" s="1"/>
      <c r="E217" s="1"/>
      <c r="F217" s="13"/>
      <c r="G217" s="14"/>
      <c r="H217" s="21"/>
      <c r="I217" s="21"/>
      <c r="J217" s="21"/>
      <c r="R217" s="30"/>
    </row>
    <row r="218" spans="1:18" x14ac:dyDescent="0.3">
      <c r="A218" s="37"/>
      <c r="B218" s="37"/>
      <c r="C218" s="59"/>
      <c r="D218" s="1"/>
      <c r="E218" s="1"/>
      <c r="F218" s="13"/>
      <c r="G218" s="14"/>
      <c r="H218" s="21"/>
      <c r="I218" s="21"/>
      <c r="J218" s="21"/>
      <c r="R218" s="30"/>
    </row>
    <row r="219" spans="1:18" x14ac:dyDescent="0.3">
      <c r="A219" s="37"/>
      <c r="B219" s="37"/>
      <c r="C219" s="59"/>
      <c r="D219" s="1"/>
      <c r="E219" s="1"/>
      <c r="F219" s="13"/>
      <c r="G219" s="14"/>
      <c r="H219" s="21"/>
      <c r="I219" s="21"/>
      <c r="J219" s="21"/>
      <c r="R219" s="30"/>
    </row>
    <row r="220" spans="1:18" x14ac:dyDescent="0.3">
      <c r="A220" s="37"/>
      <c r="B220" s="37"/>
      <c r="C220" s="59"/>
      <c r="D220" s="1"/>
      <c r="E220" s="1"/>
      <c r="F220" s="13"/>
      <c r="G220" s="14"/>
      <c r="H220" s="21"/>
      <c r="I220" s="21"/>
      <c r="J220" s="21"/>
      <c r="R220" s="30"/>
    </row>
    <row r="221" spans="1:18" x14ac:dyDescent="0.3">
      <c r="A221" s="37"/>
      <c r="B221" s="37"/>
      <c r="C221" s="59"/>
      <c r="D221" s="1"/>
      <c r="E221" s="1"/>
      <c r="F221" s="13"/>
      <c r="G221" s="14"/>
      <c r="H221" s="21"/>
      <c r="I221" s="21"/>
      <c r="J221" s="21"/>
      <c r="R221" s="30"/>
    </row>
    <row r="222" spans="1:18" x14ac:dyDescent="0.3">
      <c r="A222" s="37"/>
      <c r="B222" s="37"/>
      <c r="C222" s="59"/>
      <c r="D222" s="1"/>
      <c r="E222" s="1"/>
      <c r="F222" s="13"/>
      <c r="G222" s="14"/>
      <c r="H222" s="21"/>
      <c r="I222" s="21"/>
      <c r="J222" s="21"/>
      <c r="R222" s="30"/>
    </row>
    <row r="223" spans="1:18" x14ac:dyDescent="0.3">
      <c r="A223" s="37"/>
      <c r="B223" s="37"/>
      <c r="C223" s="59"/>
      <c r="D223" s="1"/>
      <c r="E223" s="1"/>
      <c r="F223" s="13"/>
      <c r="G223" s="14"/>
      <c r="H223" s="21"/>
      <c r="I223" s="21"/>
      <c r="J223" s="21"/>
      <c r="R223" s="30"/>
    </row>
    <row r="224" spans="1:18" x14ac:dyDescent="0.3">
      <c r="A224" s="37"/>
      <c r="B224" s="37"/>
      <c r="C224" s="59"/>
      <c r="D224" s="1"/>
      <c r="E224" s="1"/>
      <c r="F224" s="13"/>
      <c r="G224" s="14"/>
      <c r="H224" s="21"/>
      <c r="I224" s="21"/>
      <c r="J224" s="21"/>
      <c r="R224" s="30"/>
    </row>
    <row r="225" spans="1:18" x14ac:dyDescent="0.3">
      <c r="A225" s="37"/>
      <c r="B225" s="37"/>
      <c r="C225" s="59"/>
      <c r="D225" s="1"/>
      <c r="E225" s="1"/>
      <c r="F225" s="13"/>
      <c r="G225" s="14"/>
      <c r="H225" s="21"/>
      <c r="I225" s="21"/>
      <c r="J225" s="21"/>
      <c r="R225" s="30"/>
    </row>
    <row r="226" spans="1:18" x14ac:dyDescent="0.3">
      <c r="A226" s="37"/>
      <c r="B226" s="37"/>
      <c r="C226" s="59"/>
      <c r="D226" s="1"/>
      <c r="E226" s="1"/>
      <c r="F226" s="13"/>
      <c r="G226" s="14"/>
      <c r="H226" s="21"/>
      <c r="I226" s="21"/>
      <c r="J226" s="21"/>
      <c r="R226" s="30"/>
    </row>
    <row r="227" spans="1:18" x14ac:dyDescent="0.3">
      <c r="A227" s="37"/>
      <c r="B227" s="37"/>
      <c r="C227" s="59"/>
      <c r="D227" s="1"/>
      <c r="E227" s="1"/>
      <c r="F227" s="13"/>
      <c r="G227" s="14"/>
      <c r="H227" s="21"/>
      <c r="I227" s="21"/>
      <c r="J227" s="21"/>
      <c r="R227" s="30"/>
    </row>
    <row r="228" spans="1:18" x14ac:dyDescent="0.3">
      <c r="A228" s="37"/>
      <c r="B228" s="37"/>
      <c r="C228" s="59"/>
      <c r="D228" s="1"/>
      <c r="E228" s="1"/>
      <c r="F228" s="13"/>
      <c r="G228" s="14"/>
      <c r="H228" s="21"/>
      <c r="I228" s="21"/>
      <c r="J228" s="21"/>
      <c r="R228" s="30"/>
    </row>
    <row r="229" spans="1:18" x14ac:dyDescent="0.3">
      <c r="A229" s="37"/>
      <c r="B229" s="37"/>
      <c r="C229" s="59"/>
      <c r="D229" s="1"/>
      <c r="E229" s="1"/>
      <c r="F229" s="13"/>
      <c r="G229" s="14"/>
      <c r="H229" s="21"/>
      <c r="I229" s="21"/>
      <c r="J229" s="21"/>
      <c r="R229" s="30"/>
    </row>
    <row r="230" spans="1:18" x14ac:dyDescent="0.3">
      <c r="A230" s="37"/>
      <c r="B230" s="37"/>
      <c r="C230" s="59"/>
      <c r="D230" s="1"/>
      <c r="E230" s="1"/>
      <c r="F230" s="13"/>
      <c r="G230" s="14"/>
      <c r="H230" s="21"/>
      <c r="I230" s="21"/>
      <c r="J230" s="21"/>
      <c r="R230" s="30"/>
    </row>
    <row r="231" spans="1:18" x14ac:dyDescent="0.3">
      <c r="A231" s="37"/>
      <c r="B231" s="37"/>
      <c r="C231" s="59"/>
      <c r="D231" s="1"/>
      <c r="E231" s="1"/>
      <c r="F231" s="13"/>
      <c r="G231" s="14"/>
      <c r="H231" s="21"/>
      <c r="I231" s="21"/>
      <c r="J231" s="21"/>
      <c r="R231" s="30"/>
    </row>
    <row r="232" spans="1:18" x14ac:dyDescent="0.3">
      <c r="A232" s="37"/>
      <c r="B232" s="37"/>
      <c r="C232" s="59"/>
      <c r="D232" s="1"/>
      <c r="E232" s="1"/>
      <c r="F232" s="13"/>
      <c r="G232" s="14"/>
      <c r="H232" s="21"/>
      <c r="I232" s="21"/>
      <c r="J232" s="21"/>
      <c r="R232" s="30"/>
    </row>
    <row r="233" spans="1:18" x14ac:dyDescent="0.3">
      <c r="A233" s="37"/>
      <c r="B233" s="37"/>
      <c r="C233" s="59"/>
      <c r="D233" s="1"/>
      <c r="E233" s="1"/>
      <c r="F233" s="13"/>
      <c r="G233" s="14"/>
      <c r="H233" s="21"/>
      <c r="I233" s="21"/>
      <c r="J233" s="21"/>
      <c r="R233" s="30"/>
    </row>
    <row r="234" spans="1:18" x14ac:dyDescent="0.3">
      <c r="A234" s="37"/>
      <c r="B234" s="37"/>
      <c r="C234" s="59"/>
      <c r="D234" s="1"/>
      <c r="E234" s="1"/>
      <c r="F234" s="13"/>
      <c r="G234" s="14"/>
      <c r="H234" s="21"/>
      <c r="I234" s="21"/>
      <c r="J234" s="21"/>
      <c r="R234" s="30"/>
    </row>
    <row r="235" spans="1:18" x14ac:dyDescent="0.3">
      <c r="A235" s="37"/>
      <c r="B235" s="37"/>
      <c r="C235" s="59"/>
      <c r="D235" s="1"/>
      <c r="E235" s="1"/>
      <c r="F235" s="13"/>
      <c r="G235" s="14"/>
      <c r="H235" s="21"/>
      <c r="I235" s="21"/>
      <c r="J235" s="21"/>
      <c r="R235" s="30"/>
    </row>
    <row r="236" spans="1:18" x14ac:dyDescent="0.3">
      <c r="A236" s="37"/>
      <c r="B236" s="37"/>
      <c r="C236" s="59"/>
      <c r="D236" s="1"/>
      <c r="E236" s="1"/>
      <c r="F236" s="13"/>
      <c r="G236" s="14"/>
      <c r="H236" s="21"/>
      <c r="I236" s="21"/>
      <c r="J236" s="21"/>
      <c r="R236" s="30"/>
    </row>
    <row r="237" spans="1:18" x14ac:dyDescent="0.3">
      <c r="A237" s="37"/>
      <c r="B237" s="37"/>
      <c r="C237" s="59"/>
      <c r="D237" s="1"/>
      <c r="E237" s="1"/>
      <c r="F237" s="13"/>
      <c r="G237" s="14"/>
      <c r="H237" s="21"/>
      <c r="I237" s="21"/>
      <c r="J237" s="21"/>
      <c r="R237" s="30"/>
    </row>
    <row r="238" spans="1:18" x14ac:dyDescent="0.3">
      <c r="A238" s="37"/>
      <c r="B238" s="37"/>
      <c r="C238" s="59"/>
      <c r="D238" s="1"/>
      <c r="E238" s="1"/>
      <c r="F238" s="13"/>
      <c r="G238" s="14"/>
      <c r="H238" s="21"/>
      <c r="I238" s="21"/>
      <c r="J238" s="21"/>
      <c r="R238" s="30"/>
    </row>
    <row r="239" spans="1:18" x14ac:dyDescent="0.3">
      <c r="A239" s="37"/>
      <c r="B239" s="37"/>
      <c r="C239" s="59"/>
      <c r="D239" s="1"/>
      <c r="E239" s="1"/>
      <c r="F239" s="13"/>
      <c r="G239" s="14"/>
      <c r="H239" s="21"/>
      <c r="I239" s="21"/>
      <c r="J239" s="21"/>
      <c r="R239" s="30"/>
    </row>
    <row r="240" spans="1:18" x14ac:dyDescent="0.3">
      <c r="A240" s="37"/>
      <c r="B240" s="37"/>
      <c r="C240" s="59"/>
      <c r="D240" s="1"/>
      <c r="E240" s="1"/>
      <c r="F240" s="13"/>
      <c r="G240" s="14"/>
      <c r="H240" s="21"/>
      <c r="I240" s="21"/>
      <c r="J240" s="21"/>
      <c r="R240" s="30"/>
    </row>
    <row r="241" spans="1:18" x14ac:dyDescent="0.3">
      <c r="A241" s="37"/>
      <c r="B241" s="37"/>
      <c r="C241" s="59"/>
      <c r="D241" s="1"/>
      <c r="E241" s="1"/>
      <c r="F241" s="13"/>
      <c r="G241" s="14"/>
      <c r="H241" s="21"/>
      <c r="I241" s="21"/>
      <c r="J241" s="21"/>
      <c r="R241" s="30"/>
    </row>
    <row r="242" spans="1:18" x14ac:dyDescent="0.3">
      <c r="A242" s="37"/>
      <c r="B242" s="37"/>
      <c r="C242" s="59"/>
      <c r="D242" s="1"/>
      <c r="E242" s="1"/>
      <c r="F242" s="13"/>
      <c r="G242" s="14"/>
      <c r="H242" s="21"/>
      <c r="I242" s="21"/>
      <c r="J242" s="21"/>
      <c r="R242" s="30"/>
    </row>
    <row r="243" spans="1:18" x14ac:dyDescent="0.3">
      <c r="A243" s="37"/>
      <c r="B243" s="37"/>
      <c r="C243" s="59"/>
      <c r="D243" s="1"/>
      <c r="E243" s="1"/>
      <c r="F243" s="13"/>
      <c r="G243" s="14"/>
      <c r="H243" s="21"/>
      <c r="I243" s="21"/>
      <c r="J243" s="21"/>
      <c r="R243" s="30"/>
    </row>
    <row r="244" spans="1:18" x14ac:dyDescent="0.3">
      <c r="A244" s="37"/>
      <c r="B244" s="37"/>
      <c r="C244" s="59"/>
      <c r="D244" s="1"/>
      <c r="E244" s="1"/>
      <c r="F244" s="13"/>
      <c r="G244" s="14"/>
      <c r="H244" s="21"/>
      <c r="I244" s="21"/>
      <c r="J244" s="21"/>
      <c r="R244" s="30"/>
    </row>
    <row r="245" spans="1:18" x14ac:dyDescent="0.3">
      <c r="A245" s="37"/>
      <c r="B245" s="37"/>
      <c r="C245" s="59"/>
      <c r="D245" s="1"/>
      <c r="E245" s="1"/>
      <c r="F245" s="13"/>
      <c r="G245" s="14"/>
      <c r="H245" s="21"/>
      <c r="I245" s="21"/>
      <c r="J245" s="21"/>
      <c r="R245" s="30"/>
    </row>
    <row r="246" spans="1:18" x14ac:dyDescent="0.3">
      <c r="A246" s="37"/>
      <c r="B246" s="37"/>
      <c r="C246" s="59"/>
      <c r="D246" s="1"/>
      <c r="E246" s="1"/>
      <c r="F246" s="13"/>
      <c r="G246" s="14"/>
      <c r="H246" s="21"/>
      <c r="I246" s="21"/>
      <c r="J246" s="21"/>
      <c r="R246" s="30"/>
    </row>
    <row r="247" spans="1:18" x14ac:dyDescent="0.3">
      <c r="A247" s="37"/>
      <c r="B247" s="37"/>
      <c r="C247" s="59"/>
      <c r="D247" s="1"/>
      <c r="E247" s="1"/>
      <c r="F247" s="13"/>
      <c r="G247" s="14"/>
      <c r="H247" s="21"/>
      <c r="I247" s="21"/>
      <c r="J247" s="21"/>
      <c r="R247" s="30"/>
    </row>
    <row r="248" spans="1:18" x14ac:dyDescent="0.3">
      <c r="A248" s="37"/>
      <c r="B248" s="37"/>
      <c r="C248" s="59"/>
      <c r="D248" s="1"/>
      <c r="E248" s="1"/>
      <c r="F248" s="13"/>
      <c r="G248" s="14"/>
      <c r="H248" s="21"/>
      <c r="I248" s="21"/>
      <c r="J248" s="21"/>
      <c r="R248" s="30"/>
    </row>
    <row r="249" spans="1:18" x14ac:dyDescent="0.3">
      <c r="A249" s="37"/>
      <c r="B249" s="37"/>
      <c r="C249" s="59"/>
      <c r="D249" s="1"/>
      <c r="E249" s="1"/>
      <c r="F249" s="13"/>
      <c r="G249" s="14"/>
      <c r="H249" s="21"/>
      <c r="I249" s="21"/>
      <c r="J249" s="21"/>
      <c r="R249" s="30"/>
    </row>
    <row r="250" spans="1:18" x14ac:dyDescent="0.3">
      <c r="A250" s="37"/>
      <c r="B250" s="37"/>
      <c r="C250" s="59"/>
      <c r="D250" s="1"/>
      <c r="E250" s="1"/>
      <c r="F250" s="13"/>
      <c r="G250" s="14"/>
      <c r="H250" s="21"/>
      <c r="I250" s="21"/>
      <c r="J250" s="21"/>
      <c r="R250" s="30"/>
    </row>
    <row r="251" spans="1:18" x14ac:dyDescent="0.3">
      <c r="A251" s="37"/>
      <c r="B251" s="37"/>
      <c r="C251" s="59"/>
      <c r="D251" s="1"/>
      <c r="E251" s="1"/>
      <c r="F251" s="13"/>
      <c r="G251" s="14"/>
      <c r="H251" s="21"/>
      <c r="I251" s="21"/>
      <c r="J251" s="21"/>
      <c r="R251" s="30"/>
    </row>
    <row r="252" spans="1:18" x14ac:dyDescent="0.3">
      <c r="A252" s="37"/>
      <c r="B252" s="37"/>
      <c r="C252" s="59"/>
      <c r="D252" s="1"/>
      <c r="E252" s="1"/>
      <c r="F252" s="13"/>
      <c r="G252" s="14"/>
      <c r="H252" s="21"/>
      <c r="I252" s="21"/>
      <c r="J252" s="21"/>
      <c r="R252" s="30"/>
    </row>
    <row r="253" spans="1:18" x14ac:dyDescent="0.3">
      <c r="A253" s="37"/>
      <c r="B253" s="37"/>
      <c r="C253" s="59"/>
      <c r="D253" s="1"/>
      <c r="E253" s="1"/>
      <c r="F253" s="13"/>
      <c r="G253" s="14"/>
      <c r="H253" s="21"/>
      <c r="I253" s="21"/>
      <c r="J253" s="21"/>
      <c r="R253" s="30"/>
    </row>
    <row r="254" spans="1:18" x14ac:dyDescent="0.3">
      <c r="A254" s="37"/>
      <c r="B254" s="37"/>
      <c r="C254" s="59"/>
      <c r="D254" s="1"/>
      <c r="E254" s="1"/>
      <c r="F254" s="13"/>
      <c r="G254" s="14"/>
      <c r="H254" s="21"/>
      <c r="I254" s="21"/>
      <c r="J254" s="21"/>
      <c r="R254" s="30"/>
    </row>
    <row r="255" spans="1:18" x14ac:dyDescent="0.3">
      <c r="A255" s="37"/>
      <c r="B255" s="37"/>
      <c r="C255" s="59"/>
      <c r="D255" s="1"/>
      <c r="E255" s="1"/>
      <c r="F255" s="13"/>
      <c r="G255" s="14"/>
      <c r="H255" s="21"/>
      <c r="I255" s="21"/>
      <c r="J255" s="21"/>
      <c r="R255" s="30"/>
    </row>
    <row r="256" spans="1:18" x14ac:dyDescent="0.3">
      <c r="A256" s="37"/>
      <c r="B256" s="37"/>
      <c r="C256" s="59"/>
      <c r="D256" s="1"/>
      <c r="E256" s="1"/>
      <c r="F256" s="13"/>
      <c r="G256" s="14"/>
      <c r="H256" s="21"/>
      <c r="I256" s="21"/>
      <c r="J256" s="21"/>
      <c r="R256" s="30"/>
    </row>
    <row r="257" spans="1:18" x14ac:dyDescent="0.3">
      <c r="A257" s="37"/>
      <c r="B257" s="37"/>
      <c r="C257" s="59"/>
      <c r="D257" s="1"/>
      <c r="E257" s="1"/>
      <c r="F257" s="13"/>
      <c r="G257" s="14"/>
      <c r="H257" s="21"/>
      <c r="I257" s="21"/>
      <c r="J257" s="21"/>
      <c r="R257" s="30"/>
    </row>
    <row r="258" spans="1:18" x14ac:dyDescent="0.3">
      <c r="A258" s="37"/>
      <c r="B258" s="37"/>
      <c r="C258" s="59"/>
      <c r="D258" s="1"/>
      <c r="E258" s="1"/>
      <c r="F258" s="13"/>
      <c r="G258" s="14"/>
      <c r="H258" s="21"/>
      <c r="I258" s="21"/>
      <c r="J258" s="21"/>
      <c r="R258" s="30"/>
    </row>
    <row r="259" spans="1:18" x14ac:dyDescent="0.3">
      <c r="A259" s="37"/>
      <c r="B259" s="37"/>
      <c r="C259" s="59"/>
      <c r="D259" s="1"/>
      <c r="E259" s="1"/>
      <c r="F259" s="13"/>
      <c r="G259" s="14"/>
      <c r="H259" s="21"/>
      <c r="I259" s="21"/>
      <c r="J259" s="21"/>
      <c r="R259" s="30"/>
    </row>
    <row r="260" spans="1:18" x14ac:dyDescent="0.3">
      <c r="A260" s="37"/>
      <c r="B260" s="37"/>
      <c r="C260" s="59"/>
      <c r="D260" s="1"/>
      <c r="E260" s="1"/>
      <c r="F260" s="13"/>
      <c r="G260" s="14"/>
      <c r="H260" s="21"/>
      <c r="I260" s="21"/>
      <c r="J260" s="21"/>
      <c r="R260" s="30"/>
    </row>
  </sheetData>
  <autoFilter ref="A4:AA161" xr:uid="{00000000-0009-0000-0000-000002000000}"/>
  <mergeCells count="66">
    <mergeCell ref="B91:B97"/>
    <mergeCell ref="C91:C97"/>
    <mergeCell ref="B98:B104"/>
    <mergeCell ref="C98:C104"/>
    <mergeCell ref="B105:B107"/>
    <mergeCell ref="C105:C107"/>
    <mergeCell ref="C71:C80"/>
    <mergeCell ref="B81:B85"/>
    <mergeCell ref="C81:C85"/>
    <mergeCell ref="B86:B90"/>
    <mergeCell ref="C86:C90"/>
    <mergeCell ref="A5:A70"/>
    <mergeCell ref="B5:B16"/>
    <mergeCell ref="C5:C14"/>
    <mergeCell ref="C15:C16"/>
    <mergeCell ref="B17:B38"/>
    <mergeCell ref="C17:C18"/>
    <mergeCell ref="C19:C29"/>
    <mergeCell ref="C30:C33"/>
    <mergeCell ref="C34:C38"/>
    <mergeCell ref="B39:B70"/>
    <mergeCell ref="C39:C48"/>
    <mergeCell ref="C49:C66"/>
    <mergeCell ref="C67:C69"/>
    <mergeCell ref="C114:C118"/>
    <mergeCell ref="B119:B124"/>
    <mergeCell ref="C119:C124"/>
    <mergeCell ref="B125:B126"/>
    <mergeCell ref="C125:C126"/>
    <mergeCell ref="B108:B118"/>
    <mergeCell ref="C108:C110"/>
    <mergeCell ref="C111:C113"/>
    <mergeCell ref="B127:B131"/>
    <mergeCell ref="C127:C131"/>
    <mergeCell ref="B132:B139"/>
    <mergeCell ref="C132:C136"/>
    <mergeCell ref="C137:C139"/>
    <mergeCell ref="A159:A161"/>
    <mergeCell ref="B159:B161"/>
    <mergeCell ref="C159:C161"/>
    <mergeCell ref="B140:B141"/>
    <mergeCell ref="C140:C141"/>
    <mergeCell ref="B142:B143"/>
    <mergeCell ref="C142:C143"/>
    <mergeCell ref="B144:B147"/>
    <mergeCell ref="C144:C147"/>
    <mergeCell ref="A148:A158"/>
    <mergeCell ref="B148:B158"/>
    <mergeCell ref="C148:C151"/>
    <mergeCell ref="C152:C153"/>
    <mergeCell ref="C154:C156"/>
    <mergeCell ref="A71:A147"/>
    <mergeCell ref="B71:B80"/>
    <mergeCell ref="A165:A166"/>
    <mergeCell ref="A167:A174"/>
    <mergeCell ref="B168:B169"/>
    <mergeCell ref="C168:C169"/>
    <mergeCell ref="B170:B171"/>
    <mergeCell ref="C170:C171"/>
    <mergeCell ref="B172:B173"/>
    <mergeCell ref="C172:C173"/>
    <mergeCell ref="A177:A198"/>
    <mergeCell ref="B177:B198"/>
    <mergeCell ref="C177:C183"/>
    <mergeCell ref="C184:C193"/>
    <mergeCell ref="C194:C198"/>
  </mergeCells>
  <phoneticPr fontId="4" type="noConversion"/>
  <conditionalFormatting sqref="W9:W13 W148:W151 W15:W67 W154:W157">
    <cfRule type="cellIs" dxfId="117" priority="116" operator="greaterThan">
      <formula>200</formula>
    </cfRule>
  </conditionalFormatting>
  <conditionalFormatting sqref="S56:S79 S34:S38 S154:S157">
    <cfRule type="cellIs" dxfId="116" priority="115" operator="greaterThan">
      <formula>900</formula>
    </cfRule>
  </conditionalFormatting>
  <conditionalFormatting sqref="U148:U151 U114:U124 U154:U157 U5:U112">
    <cfRule type="cellIs" dxfId="115" priority="114" operator="greaterThan">
      <formula>100</formula>
    </cfRule>
  </conditionalFormatting>
  <conditionalFormatting sqref="V9:V13 V62:V67 V15:V48 V154:V157 V148:V151">
    <cfRule type="cellIs" dxfId="114" priority="113" operator="greaterThan">
      <formula>1000</formula>
    </cfRule>
  </conditionalFormatting>
  <conditionalFormatting sqref="S16">
    <cfRule type="cellIs" dxfId="113" priority="105" operator="greaterThan">
      <formula>900</formula>
    </cfRule>
  </conditionalFormatting>
  <conditionalFormatting sqref="U125:U141 U159:U160 U144:U147">
    <cfRule type="cellIs" dxfId="112" priority="112" operator="greaterThan">
      <formula>100</formula>
    </cfRule>
  </conditionalFormatting>
  <conditionalFormatting sqref="S115">
    <cfRule type="cellIs" dxfId="111" priority="93" operator="greaterThan">
      <formula>900</formula>
    </cfRule>
  </conditionalFormatting>
  <conditionalFormatting sqref="S20:S29">
    <cfRule type="cellIs" dxfId="110" priority="91" operator="greaterThan">
      <formula>900</formula>
    </cfRule>
  </conditionalFormatting>
  <conditionalFormatting sqref="S18">
    <cfRule type="cellIs" dxfId="109" priority="90" operator="greaterThan">
      <formula>900</formula>
    </cfRule>
  </conditionalFormatting>
  <conditionalFormatting sqref="M1:M151 M154:M162 M200:M1048576 M175:M176">
    <cfRule type="cellIs" dxfId="108" priority="110" operator="lessThan">
      <formula>0.09</formula>
    </cfRule>
    <cfRule type="cellIs" dxfId="107" priority="111" operator="lessThanOrEqual">
      <formula>0</formula>
    </cfRule>
  </conditionalFormatting>
  <conditionalFormatting sqref="Q1:Q151 Q154:Q162 Q200:Q1048576 Q175:Q176">
    <cfRule type="cellIs" dxfId="106" priority="109" operator="lessThan">
      <formula>150</formula>
    </cfRule>
  </conditionalFormatting>
  <conditionalFormatting sqref="U1:U151 U154:U162 U200:U1048576 U175:U176">
    <cfRule type="cellIs" dxfId="105" priority="108" operator="greaterThan">
      <formula>51</formula>
    </cfRule>
  </conditionalFormatting>
  <conditionalFormatting sqref="S5 S81:S112 S8:S9 S17 S137:S141 S49 S119 S122:S135 S159:S160 S116 S144:S147 S12:S15 S30 S19">
    <cfRule type="cellIs" dxfId="104" priority="107" operator="greaterThan">
      <formula>900</formula>
    </cfRule>
  </conditionalFormatting>
  <conditionalFormatting sqref="S6:S7">
    <cfRule type="cellIs" dxfId="103" priority="106" operator="greaterThan">
      <formula>900</formula>
    </cfRule>
  </conditionalFormatting>
  <conditionalFormatting sqref="S31:S33">
    <cfRule type="cellIs" dxfId="102" priority="104" operator="greaterThan">
      <formula>900</formula>
    </cfRule>
  </conditionalFormatting>
  <conditionalFormatting sqref="S50:S55">
    <cfRule type="cellIs" dxfId="101" priority="103" operator="greaterThan">
      <formula>900</formula>
    </cfRule>
  </conditionalFormatting>
  <conditionalFormatting sqref="S80">
    <cfRule type="cellIs" dxfId="100" priority="102" operator="greaterThan">
      <formula>900</formula>
    </cfRule>
  </conditionalFormatting>
  <conditionalFormatting sqref="S120:S121">
    <cfRule type="cellIs" dxfId="99" priority="101" operator="greaterThan">
      <formula>900</formula>
    </cfRule>
  </conditionalFormatting>
  <conditionalFormatting sqref="S136">
    <cfRule type="cellIs" dxfId="98" priority="100" operator="greaterThan">
      <formula>900</formula>
    </cfRule>
  </conditionalFormatting>
  <conditionalFormatting sqref="S151">
    <cfRule type="cellIs" dxfId="97" priority="99" operator="greaterThan">
      <formula>900</formula>
    </cfRule>
  </conditionalFormatting>
  <conditionalFormatting sqref="S40:S42">
    <cfRule type="cellIs" dxfId="96" priority="98" operator="greaterThan">
      <formula>900</formula>
    </cfRule>
  </conditionalFormatting>
  <conditionalFormatting sqref="S39">
    <cfRule type="cellIs" dxfId="95" priority="97" operator="greaterThan">
      <formula>900</formula>
    </cfRule>
  </conditionalFormatting>
  <conditionalFormatting sqref="S43:S48">
    <cfRule type="cellIs" dxfId="94" priority="96" operator="greaterThan">
      <formula>900</formula>
    </cfRule>
  </conditionalFormatting>
  <conditionalFormatting sqref="S118">
    <cfRule type="cellIs" dxfId="93" priority="95" operator="greaterThan">
      <formula>900</formula>
    </cfRule>
  </conditionalFormatting>
  <conditionalFormatting sqref="S114">
    <cfRule type="cellIs" dxfId="92" priority="94" operator="greaterThan">
      <formula>900</formula>
    </cfRule>
  </conditionalFormatting>
  <conditionalFormatting sqref="S117">
    <cfRule type="cellIs" dxfId="91" priority="92" operator="greaterThan">
      <formula>900</formula>
    </cfRule>
  </conditionalFormatting>
  <conditionalFormatting sqref="W122 W5:W8 W70:W112 W114:W119 W125:W141 W159:W160 W144:W147">
    <cfRule type="cellIs" dxfId="90" priority="89" operator="greaterThan">
      <formula>200</formula>
    </cfRule>
  </conditionalFormatting>
  <conditionalFormatting sqref="V5:V8 V122 V125:V141 V159:V160 V144:V147 V70:V112 V114:V119">
    <cfRule type="cellIs" dxfId="89" priority="88" operator="greaterThan">
      <formula>1000</formula>
    </cfRule>
  </conditionalFormatting>
  <conditionalFormatting sqref="W123:W124">
    <cfRule type="cellIs" dxfId="88" priority="87" operator="greaterThan">
      <formula>200</formula>
    </cfRule>
  </conditionalFormatting>
  <conditionalFormatting sqref="V123:V124">
    <cfRule type="cellIs" dxfId="87" priority="86" operator="greaterThan">
      <formula>1000</formula>
    </cfRule>
  </conditionalFormatting>
  <conditionalFormatting sqref="W120">
    <cfRule type="cellIs" dxfId="86" priority="85" operator="greaterThan">
      <formula>200</formula>
    </cfRule>
  </conditionalFormatting>
  <conditionalFormatting sqref="V120">
    <cfRule type="cellIs" dxfId="85" priority="84" operator="greaterThan">
      <formula>1000</formula>
    </cfRule>
  </conditionalFormatting>
  <conditionalFormatting sqref="W121">
    <cfRule type="cellIs" dxfId="84" priority="83" operator="greaterThan">
      <formula>200</formula>
    </cfRule>
  </conditionalFormatting>
  <conditionalFormatting sqref="V121">
    <cfRule type="cellIs" dxfId="83" priority="82" operator="greaterThan">
      <formula>1000</formula>
    </cfRule>
  </conditionalFormatting>
  <conditionalFormatting sqref="W14">
    <cfRule type="cellIs" dxfId="82" priority="81" operator="greaterThan">
      <formula>200</formula>
    </cfRule>
  </conditionalFormatting>
  <conditionalFormatting sqref="V14">
    <cfRule type="cellIs" dxfId="81" priority="80" operator="greaterThan">
      <formula>1000</formula>
    </cfRule>
  </conditionalFormatting>
  <conditionalFormatting sqref="V68:V69">
    <cfRule type="cellIs" dxfId="80" priority="79" operator="greaterThan">
      <formula>1000</formula>
    </cfRule>
  </conditionalFormatting>
  <conditionalFormatting sqref="W68:W69">
    <cfRule type="cellIs" dxfId="79" priority="78" operator="greaterThan">
      <formula>200</formula>
    </cfRule>
  </conditionalFormatting>
  <conditionalFormatting sqref="V49:V55">
    <cfRule type="cellIs" dxfId="78" priority="77" operator="greaterThan">
      <formula>1000</formula>
    </cfRule>
  </conditionalFormatting>
  <conditionalFormatting sqref="V57:V61">
    <cfRule type="cellIs" dxfId="77" priority="76" operator="greaterThan">
      <formula>1000</formula>
    </cfRule>
  </conditionalFormatting>
  <conditionalFormatting sqref="V56">
    <cfRule type="cellIs" dxfId="76" priority="75" operator="greaterThan">
      <formula>1000</formula>
    </cfRule>
  </conditionalFormatting>
  <conditionalFormatting sqref="W152">
    <cfRule type="cellIs" dxfId="75" priority="74" operator="greaterThan">
      <formula>200</formula>
    </cfRule>
  </conditionalFormatting>
  <conditionalFormatting sqref="S152">
    <cfRule type="cellIs" dxfId="74" priority="73" operator="greaterThan">
      <formula>900</formula>
    </cfRule>
  </conditionalFormatting>
  <conditionalFormatting sqref="U152">
    <cfRule type="cellIs" dxfId="73" priority="72" operator="greaterThan">
      <formula>100</formula>
    </cfRule>
  </conditionalFormatting>
  <conditionalFormatting sqref="V152">
    <cfRule type="cellIs" dxfId="72" priority="71" operator="greaterThan">
      <formula>1000</formula>
    </cfRule>
  </conditionalFormatting>
  <conditionalFormatting sqref="M152">
    <cfRule type="cellIs" dxfId="71" priority="69" operator="lessThan">
      <formula>0.09</formula>
    </cfRule>
    <cfRule type="cellIs" dxfId="70" priority="70" operator="lessThanOrEqual">
      <formula>0</formula>
    </cfRule>
  </conditionalFormatting>
  <conditionalFormatting sqref="Q152">
    <cfRule type="cellIs" dxfId="69" priority="68" operator="lessThan">
      <formula>150</formula>
    </cfRule>
  </conditionalFormatting>
  <conditionalFormatting sqref="U152">
    <cfRule type="cellIs" dxfId="68" priority="67" operator="greaterThan">
      <formula>51</formula>
    </cfRule>
  </conditionalFormatting>
  <conditionalFormatting sqref="W153">
    <cfRule type="cellIs" dxfId="67" priority="66" operator="greaterThan">
      <formula>200</formula>
    </cfRule>
  </conditionalFormatting>
  <conditionalFormatting sqref="S153">
    <cfRule type="cellIs" dxfId="66" priority="65" operator="greaterThan">
      <formula>900</formula>
    </cfRule>
  </conditionalFormatting>
  <conditionalFormatting sqref="U153">
    <cfRule type="cellIs" dxfId="65" priority="64" operator="greaterThan">
      <formula>100</formula>
    </cfRule>
  </conditionalFormatting>
  <conditionalFormatting sqref="V153">
    <cfRule type="cellIs" dxfId="64" priority="63" operator="greaterThan">
      <formula>1000</formula>
    </cfRule>
  </conditionalFormatting>
  <conditionalFormatting sqref="M153">
    <cfRule type="cellIs" dxfId="63" priority="61" operator="lessThan">
      <formula>0.09</formula>
    </cfRule>
    <cfRule type="cellIs" dxfId="62" priority="62" operator="lessThanOrEqual">
      <formula>0</formula>
    </cfRule>
  </conditionalFormatting>
  <conditionalFormatting sqref="Q153">
    <cfRule type="cellIs" dxfId="61" priority="60" operator="lessThan">
      <formula>150</formula>
    </cfRule>
  </conditionalFormatting>
  <conditionalFormatting sqref="U153">
    <cfRule type="cellIs" dxfId="60" priority="59" operator="greaterThan">
      <formula>51</formula>
    </cfRule>
  </conditionalFormatting>
  <conditionalFormatting sqref="U167">
    <cfRule type="cellIs" dxfId="59" priority="58" operator="greaterThan">
      <formula>100</formula>
    </cfRule>
  </conditionalFormatting>
  <conditionalFormatting sqref="Q167">
    <cfRule type="cellIs" dxfId="58" priority="57" operator="lessThan">
      <formula>150</formula>
    </cfRule>
  </conditionalFormatting>
  <conditionalFormatting sqref="U167">
    <cfRule type="cellIs" dxfId="57" priority="56" operator="greaterThan">
      <formula>51</formula>
    </cfRule>
  </conditionalFormatting>
  <conditionalFormatting sqref="S167">
    <cfRule type="cellIs" dxfId="56" priority="55" operator="greaterThan">
      <formula>900</formula>
    </cfRule>
  </conditionalFormatting>
  <conditionalFormatting sqref="W167">
    <cfRule type="cellIs" dxfId="55" priority="54" operator="greaterThan">
      <formula>200</formula>
    </cfRule>
  </conditionalFormatting>
  <conditionalFormatting sqref="V167">
    <cfRule type="cellIs" dxfId="54" priority="53" operator="greaterThan">
      <formula>1000</formula>
    </cfRule>
  </conditionalFormatting>
  <conditionalFormatting sqref="U168:U169">
    <cfRule type="cellIs" dxfId="53" priority="52" operator="greaterThan">
      <formula>100</formula>
    </cfRule>
  </conditionalFormatting>
  <conditionalFormatting sqref="Q168:Q169">
    <cfRule type="cellIs" dxfId="52" priority="51" operator="lessThan">
      <formula>150</formula>
    </cfRule>
  </conditionalFormatting>
  <conditionalFormatting sqref="U168:U169">
    <cfRule type="cellIs" dxfId="51" priority="50" operator="greaterThan">
      <formula>51</formula>
    </cfRule>
  </conditionalFormatting>
  <conditionalFormatting sqref="S168:S169">
    <cfRule type="cellIs" dxfId="50" priority="49" operator="greaterThan">
      <formula>900</formula>
    </cfRule>
  </conditionalFormatting>
  <conditionalFormatting sqref="W168">
    <cfRule type="cellIs" dxfId="49" priority="48" operator="greaterThan">
      <formula>200</formula>
    </cfRule>
  </conditionalFormatting>
  <conditionalFormatting sqref="V168">
    <cfRule type="cellIs" dxfId="48" priority="47" operator="greaterThan">
      <formula>1000</formula>
    </cfRule>
  </conditionalFormatting>
  <conditionalFormatting sqref="Q164">
    <cfRule type="cellIs" dxfId="47" priority="46" operator="lessThan">
      <formula>150</formula>
    </cfRule>
  </conditionalFormatting>
  <conditionalFormatting sqref="U164">
    <cfRule type="cellIs" dxfId="46" priority="45" operator="greaterThan">
      <formula>51</formula>
    </cfRule>
  </conditionalFormatting>
  <conditionalFormatting sqref="Q165">
    <cfRule type="cellIs" dxfId="45" priority="44" operator="lessThan">
      <formula>150</formula>
    </cfRule>
  </conditionalFormatting>
  <conditionalFormatting sqref="U165">
    <cfRule type="cellIs" dxfId="44" priority="43" operator="greaterThan">
      <formula>51</formula>
    </cfRule>
  </conditionalFormatting>
  <conditionalFormatting sqref="Q166">
    <cfRule type="cellIs" dxfId="43" priority="42" operator="lessThan">
      <formula>150</formula>
    </cfRule>
  </conditionalFormatting>
  <conditionalFormatting sqref="U166">
    <cfRule type="cellIs" dxfId="42" priority="41" operator="greaterThan">
      <formula>51</formula>
    </cfRule>
  </conditionalFormatting>
  <conditionalFormatting sqref="U170:U172 U174">
    <cfRule type="cellIs" dxfId="41" priority="40" operator="greaterThan">
      <formula>100</formula>
    </cfRule>
  </conditionalFormatting>
  <conditionalFormatting sqref="Q170:Q174">
    <cfRule type="cellIs" dxfId="40" priority="39" operator="lessThan">
      <formula>150</formula>
    </cfRule>
  </conditionalFormatting>
  <conditionalFormatting sqref="U170:U172 U174">
    <cfRule type="cellIs" dxfId="39" priority="38" operator="greaterThan">
      <formula>51</formula>
    </cfRule>
  </conditionalFormatting>
  <conditionalFormatting sqref="S174">
    <cfRule type="cellIs" dxfId="38" priority="37" operator="greaterThan">
      <formula>900</formula>
    </cfRule>
  </conditionalFormatting>
  <conditionalFormatting sqref="V174">
    <cfRule type="cellIs" dxfId="37" priority="36" operator="greaterThan">
      <formula>1000</formula>
    </cfRule>
  </conditionalFormatting>
  <conditionalFormatting sqref="W169">
    <cfRule type="cellIs" dxfId="36" priority="35" operator="greaterThan">
      <formula>200</formula>
    </cfRule>
  </conditionalFormatting>
  <conditionalFormatting sqref="V169">
    <cfRule type="cellIs" dxfId="35" priority="34" operator="greaterThan">
      <formula>1000</formula>
    </cfRule>
  </conditionalFormatting>
  <conditionalFormatting sqref="S170">
    <cfRule type="cellIs" dxfId="34" priority="33" operator="greaterThan">
      <formula>900</formula>
    </cfRule>
  </conditionalFormatting>
  <conditionalFormatting sqref="W170">
    <cfRule type="cellIs" dxfId="33" priority="32" operator="greaterThan">
      <formula>200</formula>
    </cfRule>
  </conditionalFormatting>
  <conditionalFormatting sqref="V170">
    <cfRule type="cellIs" dxfId="32" priority="31" operator="greaterThan">
      <formula>1000</formula>
    </cfRule>
  </conditionalFormatting>
  <conditionalFormatting sqref="S171:S172">
    <cfRule type="cellIs" dxfId="31" priority="30" operator="greaterThan">
      <formula>900</formula>
    </cfRule>
  </conditionalFormatting>
  <conditionalFormatting sqref="W171:W172">
    <cfRule type="cellIs" dxfId="30" priority="29" operator="greaterThan">
      <formula>200</formula>
    </cfRule>
  </conditionalFormatting>
  <conditionalFormatting sqref="V171:V172">
    <cfRule type="cellIs" dxfId="29" priority="28" operator="greaterThan">
      <formula>1000</formula>
    </cfRule>
  </conditionalFormatting>
  <conditionalFormatting sqref="W174">
    <cfRule type="cellIs" dxfId="28" priority="27" operator="greaterThan">
      <formula>200</formula>
    </cfRule>
  </conditionalFormatting>
  <conditionalFormatting sqref="M164:M174">
    <cfRule type="cellIs" dxfId="27" priority="25" operator="lessThan">
      <formula>0.09</formula>
    </cfRule>
    <cfRule type="cellIs" dxfId="26" priority="26" operator="lessThanOrEqual">
      <formula>0</formula>
    </cfRule>
  </conditionalFormatting>
  <conditionalFormatting sqref="S149">
    <cfRule type="cellIs" dxfId="25" priority="24" operator="greaterThan">
      <formula>900</formula>
    </cfRule>
  </conditionalFormatting>
  <conditionalFormatting sqref="S148">
    <cfRule type="cellIs" dxfId="24" priority="23" operator="greaterThan">
      <formula>900</formula>
    </cfRule>
  </conditionalFormatting>
  <conditionalFormatting sqref="S150">
    <cfRule type="cellIs" dxfId="23" priority="22" operator="greaterThan">
      <formula>900</formula>
    </cfRule>
  </conditionalFormatting>
  <conditionalFormatting sqref="S10">
    <cfRule type="cellIs" dxfId="22" priority="21" operator="greaterThan">
      <formula>900</formula>
    </cfRule>
  </conditionalFormatting>
  <conditionalFormatting sqref="S11">
    <cfRule type="cellIs" dxfId="21" priority="20" operator="greaterThan">
      <formula>900</formula>
    </cfRule>
  </conditionalFormatting>
  <conditionalFormatting sqref="Q177">
    <cfRule type="cellIs" dxfId="20" priority="19" operator="lessThan">
      <formula>150</formula>
    </cfRule>
  </conditionalFormatting>
  <conditionalFormatting sqref="U177">
    <cfRule type="cellIs" dxfId="19" priority="18" operator="greaterThan">
      <formula>51</formula>
    </cfRule>
  </conditionalFormatting>
  <conditionalFormatting sqref="Q178">
    <cfRule type="cellIs" dxfId="18" priority="17" operator="lessThan">
      <formula>150</formula>
    </cfRule>
  </conditionalFormatting>
  <conditionalFormatting sqref="M177:M193">
    <cfRule type="cellIs" dxfId="17" priority="14" operator="lessThan">
      <formula>0.09</formula>
    </cfRule>
    <cfRule type="cellIs" dxfId="16" priority="15" operator="lessThanOrEqual">
      <formula>0</formula>
    </cfRule>
  </conditionalFormatting>
  <conditionalFormatting sqref="Q179:Q193">
    <cfRule type="cellIs" dxfId="15" priority="16" operator="lessThan">
      <formula>150</formula>
    </cfRule>
  </conditionalFormatting>
  <conditionalFormatting sqref="M199">
    <cfRule type="cellIs" dxfId="14" priority="10" operator="lessThan">
      <formula>0.09</formula>
    </cfRule>
    <cfRule type="cellIs" dxfId="13" priority="11" operator="lessThanOrEqual">
      <formula>0</formula>
    </cfRule>
  </conditionalFormatting>
  <conditionalFormatting sqref="Q194:Q199">
    <cfRule type="cellIs" dxfId="12" priority="13" operator="lessThan">
      <formula>150</formula>
    </cfRule>
  </conditionalFormatting>
  <conditionalFormatting sqref="U199">
    <cfRule type="cellIs" dxfId="11" priority="12" operator="greaterThan">
      <formula>51</formula>
    </cfRule>
  </conditionalFormatting>
  <conditionalFormatting sqref="M194:M198">
    <cfRule type="cellIs" dxfId="10" priority="8" operator="lessThan">
      <formula>0.09</formula>
    </cfRule>
    <cfRule type="cellIs" dxfId="9" priority="9" operator="lessThanOrEqual">
      <formula>0</formula>
    </cfRule>
  </conditionalFormatting>
  <conditionalFormatting sqref="U178:U198">
    <cfRule type="cellIs" dxfId="8" priority="7" operator="greaterThan">
      <formula>51</formula>
    </cfRule>
  </conditionalFormatting>
  <conditionalFormatting sqref="U173">
    <cfRule type="cellIs" dxfId="7" priority="6" operator="greaterThan">
      <formula>100</formula>
    </cfRule>
  </conditionalFormatting>
  <conditionalFormatting sqref="U173">
    <cfRule type="cellIs" dxfId="6" priority="5" operator="greaterThan">
      <formula>51</formula>
    </cfRule>
  </conditionalFormatting>
  <conditionalFormatting sqref="S173">
    <cfRule type="cellIs" dxfId="5" priority="4" operator="greaterThan">
      <formula>900</formula>
    </cfRule>
  </conditionalFormatting>
  <conditionalFormatting sqref="W173">
    <cfRule type="cellIs" dxfId="4" priority="3" operator="greaterThan">
      <formula>200</formula>
    </cfRule>
  </conditionalFormatting>
  <conditionalFormatting sqref="V173">
    <cfRule type="cellIs" dxfId="3" priority="2" operator="greaterThan">
      <formula>1000</formula>
    </cfRule>
  </conditionalFormatting>
  <printOptions verticalCentered="1"/>
  <pageMargins left="0.39370078740157483" right="0" top="0" bottom="0.19685039370078741" header="0" footer="0"/>
  <pageSetup paperSize="8" fitToHeight="0" orientation="landscape" horizontalDpi="1200" verticalDpi="120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161"/>
  <sheetViews>
    <sheetView workbookViewId="0">
      <selection activeCell="G63" sqref="G63"/>
    </sheetView>
  </sheetViews>
  <sheetFormatPr defaultRowHeight="16.5" x14ac:dyDescent="0.3"/>
  <cols>
    <col min="1" max="1" width="24.625" bestFit="1" customWidth="1"/>
    <col min="3" max="3" width="17.75" customWidth="1"/>
    <col min="6" max="6" width="17.375" style="40" customWidth="1"/>
    <col min="7" max="8" width="9" style="212"/>
    <col min="9" max="9" width="9.375" style="212" bestFit="1" customWidth="1"/>
    <col min="10" max="10" width="9" style="212"/>
    <col min="11" max="11" width="13" style="212" bestFit="1" customWidth="1"/>
    <col min="13" max="13" width="14.625" bestFit="1" customWidth="1"/>
    <col min="15" max="15" width="17.125" bestFit="1" customWidth="1"/>
    <col min="16" max="16" width="14.25" bestFit="1" customWidth="1"/>
    <col min="17" max="17" width="13" customWidth="1"/>
  </cols>
  <sheetData>
    <row r="1" spans="1:17" ht="20.25" x14ac:dyDescent="0.3">
      <c r="A1" s="313" t="s">
        <v>536</v>
      </c>
      <c r="B1" s="313"/>
      <c r="C1" s="313"/>
      <c r="F1" s="37"/>
      <c r="O1" s="314" t="s">
        <v>572</v>
      </c>
      <c r="P1" s="314"/>
      <c r="Q1" s="314"/>
    </row>
    <row r="2" spans="1:17" ht="17.25" x14ac:dyDescent="0.3">
      <c r="A2" s="198" t="s">
        <v>537</v>
      </c>
      <c r="B2" s="198" t="s">
        <v>538</v>
      </c>
      <c r="C2" s="198" t="s">
        <v>539</v>
      </c>
      <c r="F2" s="59"/>
      <c r="O2" s="219"/>
      <c r="P2" s="220"/>
      <c r="Q2" s="221" t="s">
        <v>579</v>
      </c>
    </row>
    <row r="3" spans="1:17" ht="17.25" x14ac:dyDescent="0.3">
      <c r="A3" s="201" t="s">
        <v>540</v>
      </c>
      <c r="B3" s="201">
        <v>68</v>
      </c>
      <c r="C3" s="201"/>
      <c r="F3" s="59"/>
      <c r="G3" s="212">
        <v>53</v>
      </c>
      <c r="H3" s="212">
        <v>3233</v>
      </c>
      <c r="I3" s="214">
        <f>G3*H3</f>
        <v>171349</v>
      </c>
      <c r="J3" s="214">
        <v>3000</v>
      </c>
      <c r="K3" s="214">
        <f>I3*J3</f>
        <v>514047000</v>
      </c>
      <c r="L3" s="215">
        <v>5.7</v>
      </c>
      <c r="M3" s="214">
        <f>K3*L3</f>
        <v>2930067900</v>
      </c>
      <c r="O3" s="216" t="s">
        <v>570</v>
      </c>
      <c r="P3" s="216" t="s">
        <v>574</v>
      </c>
      <c r="Q3" s="216" t="s">
        <v>571</v>
      </c>
    </row>
    <row r="4" spans="1:17" ht="17.25" x14ac:dyDescent="0.3">
      <c r="A4" s="199" t="s">
        <v>541</v>
      </c>
      <c r="B4" s="199">
        <v>2</v>
      </c>
      <c r="C4" s="199"/>
      <c r="F4" s="207" t="s">
        <v>548</v>
      </c>
      <c r="O4" s="222" t="s">
        <v>573</v>
      </c>
      <c r="P4" s="223">
        <v>53</v>
      </c>
      <c r="Q4" s="222"/>
    </row>
    <row r="5" spans="1:17" ht="17.25" x14ac:dyDescent="0.3">
      <c r="A5" s="199" t="s">
        <v>542</v>
      </c>
      <c r="B5" s="199">
        <v>20</v>
      </c>
      <c r="C5" s="199"/>
      <c r="F5" s="202"/>
      <c r="O5" s="222" t="s">
        <v>575</v>
      </c>
      <c r="P5" s="223">
        <v>-3233</v>
      </c>
      <c r="Q5" s="222"/>
    </row>
    <row r="6" spans="1:17" ht="17.25" x14ac:dyDescent="0.3">
      <c r="A6" s="199" t="s">
        <v>543</v>
      </c>
      <c r="B6" s="199">
        <v>4</v>
      </c>
      <c r="C6" s="199"/>
      <c r="F6" s="202"/>
      <c r="O6" s="222" t="s">
        <v>576</v>
      </c>
      <c r="P6" s="223">
        <v>3000</v>
      </c>
      <c r="Q6" s="222"/>
    </row>
    <row r="7" spans="1:17" ht="17.25" x14ac:dyDescent="0.3">
      <c r="A7" s="199" t="s">
        <v>544</v>
      </c>
      <c r="B7" s="199">
        <v>16</v>
      </c>
      <c r="C7" s="199"/>
      <c r="F7" s="202"/>
      <c r="O7" s="222" t="s">
        <v>577</v>
      </c>
      <c r="P7" s="224">
        <v>5.7</v>
      </c>
      <c r="Q7" s="225" t="s">
        <v>580</v>
      </c>
    </row>
    <row r="8" spans="1:17" ht="17.25" x14ac:dyDescent="0.3">
      <c r="A8" s="199" t="s">
        <v>545</v>
      </c>
      <c r="B8" s="199">
        <v>26</v>
      </c>
      <c r="C8" s="199"/>
      <c r="F8" s="202"/>
      <c r="O8" s="213" t="s">
        <v>578</v>
      </c>
      <c r="P8" s="217">
        <f>P5*P6*P7</f>
        <v>-55284300</v>
      </c>
      <c r="Q8" s="218"/>
    </row>
    <row r="9" spans="1:17" x14ac:dyDescent="0.3">
      <c r="A9" s="200" t="s">
        <v>546</v>
      </c>
      <c r="F9" s="202"/>
    </row>
    <row r="10" spans="1:17" x14ac:dyDescent="0.3">
      <c r="F10" s="202"/>
    </row>
    <row r="11" spans="1:17" x14ac:dyDescent="0.3">
      <c r="F11" s="202"/>
    </row>
    <row r="12" spans="1:17" x14ac:dyDescent="0.3">
      <c r="F12" s="204"/>
      <c r="G12" s="212">
        <f>5.5*17</f>
        <v>93.5</v>
      </c>
    </row>
    <row r="13" spans="1:17" x14ac:dyDescent="0.3">
      <c r="F13" s="208" t="s">
        <v>552</v>
      </c>
      <c r="G13" s="212">
        <v>190</v>
      </c>
    </row>
    <row r="14" spans="1:17" x14ac:dyDescent="0.3">
      <c r="F14" s="206" t="s">
        <v>552</v>
      </c>
      <c r="G14" s="212">
        <v>190</v>
      </c>
    </row>
    <row r="15" spans="1:17" x14ac:dyDescent="0.3">
      <c r="F15" s="206" t="s">
        <v>564</v>
      </c>
      <c r="G15" s="212">
        <v>150</v>
      </c>
    </row>
    <row r="16" spans="1:17" x14ac:dyDescent="0.3">
      <c r="F16" s="206" t="s">
        <v>564</v>
      </c>
      <c r="G16" s="212">
        <v>150</v>
      </c>
    </row>
    <row r="17" spans="6:7" x14ac:dyDescent="0.3">
      <c r="F17" s="204" t="s">
        <v>566</v>
      </c>
      <c r="G17" s="212">
        <v>50</v>
      </c>
    </row>
    <row r="18" spans="6:7" x14ac:dyDescent="0.3">
      <c r="F18" s="204" t="s">
        <v>566</v>
      </c>
      <c r="G18" s="212">
        <v>50</v>
      </c>
    </row>
    <row r="19" spans="6:7" x14ac:dyDescent="0.3">
      <c r="F19" s="204" t="s">
        <v>565</v>
      </c>
      <c r="G19" s="212">
        <v>20</v>
      </c>
    </row>
    <row r="20" spans="6:7" x14ac:dyDescent="0.3">
      <c r="F20" s="204" t="s">
        <v>565</v>
      </c>
      <c r="G20" s="212">
        <v>20</v>
      </c>
    </row>
    <row r="21" spans="6:7" x14ac:dyDescent="0.3">
      <c r="F21" s="204" t="s">
        <v>565</v>
      </c>
      <c r="G21" s="212">
        <v>20</v>
      </c>
    </row>
    <row r="22" spans="6:7" x14ac:dyDescent="0.3">
      <c r="F22" s="204" t="s">
        <v>565</v>
      </c>
      <c r="G22" s="212">
        <v>20</v>
      </c>
    </row>
    <row r="23" spans="6:7" x14ac:dyDescent="0.3">
      <c r="F23" s="204" t="s">
        <v>565</v>
      </c>
      <c r="G23" s="212">
        <v>20</v>
      </c>
    </row>
    <row r="24" spans="6:7" x14ac:dyDescent="0.3">
      <c r="F24" s="204" t="s">
        <v>565</v>
      </c>
      <c r="G24" s="212">
        <v>20</v>
      </c>
    </row>
    <row r="25" spans="6:7" x14ac:dyDescent="0.3">
      <c r="F25" s="204" t="s">
        <v>565</v>
      </c>
      <c r="G25" s="212">
        <v>20</v>
      </c>
    </row>
    <row r="26" spans="6:7" x14ac:dyDescent="0.3">
      <c r="F26" s="204" t="s">
        <v>565</v>
      </c>
      <c r="G26" s="212">
        <v>20</v>
      </c>
    </row>
    <row r="27" spans="6:7" x14ac:dyDescent="0.3">
      <c r="F27" s="204" t="s">
        <v>565</v>
      </c>
      <c r="G27" s="212">
        <v>20</v>
      </c>
    </row>
    <row r="28" spans="6:7" x14ac:dyDescent="0.3">
      <c r="F28" s="204" t="s">
        <v>565</v>
      </c>
      <c r="G28" s="212">
        <v>20</v>
      </c>
    </row>
    <row r="29" spans="6:7" x14ac:dyDescent="0.3">
      <c r="F29" s="204" t="s">
        <v>565</v>
      </c>
      <c r="G29" s="212">
        <v>20</v>
      </c>
    </row>
    <row r="30" spans="6:7" x14ac:dyDescent="0.3">
      <c r="F30" s="203" t="s">
        <v>567</v>
      </c>
      <c r="G30" s="212">
        <v>10</v>
      </c>
    </row>
    <row r="31" spans="6:7" x14ac:dyDescent="0.3">
      <c r="F31" s="203" t="s">
        <v>567</v>
      </c>
      <c r="G31" s="212">
        <v>10</v>
      </c>
    </row>
    <row r="32" spans="6:7" x14ac:dyDescent="0.3">
      <c r="F32" s="203" t="s">
        <v>567</v>
      </c>
      <c r="G32" s="212">
        <v>10</v>
      </c>
    </row>
    <row r="33" spans="6:7" x14ac:dyDescent="0.3">
      <c r="F33" s="203" t="s">
        <v>567</v>
      </c>
      <c r="G33" s="212">
        <v>10</v>
      </c>
    </row>
    <row r="34" spans="6:7" x14ac:dyDescent="0.3">
      <c r="F34" s="202"/>
    </row>
    <row r="35" spans="6:7" x14ac:dyDescent="0.3">
      <c r="F35" s="204"/>
    </row>
    <row r="36" spans="6:7" x14ac:dyDescent="0.3">
      <c r="F36" s="203"/>
    </row>
    <row r="37" spans="6:7" x14ac:dyDescent="0.3">
      <c r="F37" s="203"/>
    </row>
    <row r="38" spans="6:7" x14ac:dyDescent="0.3">
      <c r="F38" s="203"/>
    </row>
    <row r="39" spans="6:7" x14ac:dyDescent="0.3">
      <c r="F39" s="202"/>
    </row>
    <row r="40" spans="6:7" x14ac:dyDescent="0.3">
      <c r="F40" s="209"/>
    </row>
    <row r="41" spans="6:7" x14ac:dyDescent="0.3">
      <c r="F41" s="210"/>
    </row>
    <row r="42" spans="6:7" x14ac:dyDescent="0.3">
      <c r="F42" s="210"/>
    </row>
    <row r="43" spans="6:7" x14ac:dyDescent="0.3">
      <c r="F43" s="202"/>
    </row>
    <row r="44" spans="6:7" x14ac:dyDescent="0.3">
      <c r="F44" s="202"/>
    </row>
    <row r="45" spans="6:7" x14ac:dyDescent="0.3">
      <c r="F45" s="202"/>
    </row>
    <row r="46" spans="6:7" x14ac:dyDescent="0.3">
      <c r="F46" s="202"/>
    </row>
    <row r="47" spans="6:7" x14ac:dyDescent="0.3">
      <c r="F47" s="202"/>
    </row>
    <row r="48" spans="6:7" x14ac:dyDescent="0.3">
      <c r="F48" s="202"/>
    </row>
    <row r="49" spans="6:7" x14ac:dyDescent="0.3">
      <c r="F49" s="208" t="s">
        <v>549</v>
      </c>
      <c r="G49" s="212">
        <v>8</v>
      </c>
    </row>
    <row r="50" spans="6:7" x14ac:dyDescent="0.3">
      <c r="F50" s="208" t="s">
        <v>549</v>
      </c>
      <c r="G50" s="212">
        <v>8</v>
      </c>
    </row>
    <row r="51" spans="6:7" x14ac:dyDescent="0.3">
      <c r="F51" s="208" t="s">
        <v>549</v>
      </c>
      <c r="G51" s="212">
        <v>8</v>
      </c>
    </row>
    <row r="52" spans="6:7" x14ac:dyDescent="0.3">
      <c r="F52" s="208" t="s">
        <v>549</v>
      </c>
      <c r="G52" s="212">
        <v>8</v>
      </c>
    </row>
    <row r="53" spans="6:7" x14ac:dyDescent="0.3">
      <c r="F53" s="208" t="s">
        <v>549</v>
      </c>
      <c r="G53" s="212">
        <v>8</v>
      </c>
    </row>
    <row r="54" spans="6:7" x14ac:dyDescent="0.3">
      <c r="F54" s="208" t="s">
        <v>549</v>
      </c>
      <c r="G54" s="212">
        <v>8</v>
      </c>
    </row>
    <row r="55" spans="6:7" x14ac:dyDescent="0.3">
      <c r="F55" s="208" t="s">
        <v>549</v>
      </c>
      <c r="G55" s="212">
        <v>8</v>
      </c>
    </row>
    <row r="56" spans="6:7" x14ac:dyDescent="0.3">
      <c r="F56" s="208" t="s">
        <v>569</v>
      </c>
      <c r="G56" s="212">
        <v>16.5</v>
      </c>
    </row>
    <row r="57" spans="6:7" x14ac:dyDescent="0.3">
      <c r="F57" s="208" t="s">
        <v>550</v>
      </c>
      <c r="G57" s="212">
        <v>82</v>
      </c>
    </row>
    <row r="58" spans="6:7" x14ac:dyDescent="0.3">
      <c r="F58" s="208" t="s">
        <v>550</v>
      </c>
      <c r="G58" s="212">
        <v>82</v>
      </c>
    </row>
    <row r="59" spans="6:7" x14ac:dyDescent="0.3">
      <c r="F59" s="208" t="s">
        <v>550</v>
      </c>
      <c r="G59" s="212">
        <v>82</v>
      </c>
    </row>
    <row r="60" spans="6:7" x14ac:dyDescent="0.3">
      <c r="F60" s="208" t="s">
        <v>550</v>
      </c>
      <c r="G60" s="212">
        <v>82</v>
      </c>
    </row>
    <row r="61" spans="6:7" x14ac:dyDescent="0.3">
      <c r="F61" s="208" t="s">
        <v>550</v>
      </c>
      <c r="G61" s="212">
        <v>82</v>
      </c>
    </row>
    <row r="62" spans="6:7" x14ac:dyDescent="0.3">
      <c r="F62" s="208"/>
    </row>
    <row r="63" spans="6:7" x14ac:dyDescent="0.3">
      <c r="F63" s="208"/>
    </row>
    <row r="64" spans="6:7" x14ac:dyDescent="0.3">
      <c r="F64" s="208"/>
    </row>
    <row r="65" spans="6:7" x14ac:dyDescent="0.3">
      <c r="F65" s="208"/>
    </row>
    <row r="66" spans="6:7" x14ac:dyDescent="0.3">
      <c r="F66" s="208"/>
    </row>
    <row r="67" spans="6:7" x14ac:dyDescent="0.3">
      <c r="F67" s="203"/>
    </row>
    <row r="68" spans="6:7" x14ac:dyDescent="0.3">
      <c r="F68" s="203"/>
    </row>
    <row r="69" spans="6:7" x14ac:dyDescent="0.3">
      <c r="F69" s="203"/>
    </row>
    <row r="70" spans="6:7" x14ac:dyDescent="0.3">
      <c r="F70" s="208"/>
    </row>
    <row r="71" spans="6:7" x14ac:dyDescent="0.3">
      <c r="F71" s="203"/>
    </row>
    <row r="72" spans="6:7" x14ac:dyDescent="0.3">
      <c r="F72" s="202"/>
    </row>
    <row r="73" spans="6:7" x14ac:dyDescent="0.3">
      <c r="F73" s="208" t="s">
        <v>551</v>
      </c>
      <c r="G73" s="212">
        <v>140</v>
      </c>
    </row>
    <row r="74" spans="6:7" x14ac:dyDescent="0.3">
      <c r="F74" s="208" t="s">
        <v>553</v>
      </c>
      <c r="G74" s="212">
        <v>11</v>
      </c>
    </row>
    <row r="75" spans="6:7" x14ac:dyDescent="0.3">
      <c r="F75" s="205"/>
    </row>
    <row r="76" spans="6:7" x14ac:dyDescent="0.3">
      <c r="F76" s="203"/>
    </row>
    <row r="77" spans="6:7" x14ac:dyDescent="0.3">
      <c r="F77" s="208"/>
    </row>
    <row r="78" spans="6:7" x14ac:dyDescent="0.3">
      <c r="F78" s="203"/>
    </row>
    <row r="79" spans="6:7" x14ac:dyDescent="0.3">
      <c r="F79" s="202"/>
    </row>
    <row r="80" spans="6:7" x14ac:dyDescent="0.3">
      <c r="F80" s="202"/>
    </row>
    <row r="81" spans="6:7" x14ac:dyDescent="0.3">
      <c r="F81" s="202"/>
    </row>
    <row r="82" spans="6:7" x14ac:dyDescent="0.3">
      <c r="F82" s="208" t="s">
        <v>554</v>
      </c>
      <c r="G82" s="212">
        <v>22</v>
      </c>
    </row>
    <row r="83" spans="6:7" x14ac:dyDescent="0.3">
      <c r="F83" s="202"/>
    </row>
    <row r="84" spans="6:7" x14ac:dyDescent="0.3">
      <c r="F84" s="202"/>
    </row>
    <row r="85" spans="6:7" x14ac:dyDescent="0.3">
      <c r="F85" s="208" t="s">
        <v>555</v>
      </c>
      <c r="G85" s="212">
        <v>198</v>
      </c>
    </row>
    <row r="86" spans="6:7" x14ac:dyDescent="0.3">
      <c r="F86" s="205"/>
    </row>
    <row r="87" spans="6:7" x14ac:dyDescent="0.3">
      <c r="F87" s="205"/>
    </row>
    <row r="88" spans="6:7" x14ac:dyDescent="0.3">
      <c r="F88" s="205"/>
    </row>
    <row r="89" spans="6:7" x14ac:dyDescent="0.3">
      <c r="F89" s="205"/>
    </row>
    <row r="90" spans="6:7" x14ac:dyDescent="0.3">
      <c r="F90" s="206" t="s">
        <v>556</v>
      </c>
      <c r="G90" s="212">
        <v>33</v>
      </c>
    </row>
    <row r="91" spans="6:7" x14ac:dyDescent="0.3">
      <c r="F91" s="202"/>
    </row>
    <row r="92" spans="6:7" x14ac:dyDescent="0.3">
      <c r="F92" s="202"/>
    </row>
    <row r="93" spans="6:7" x14ac:dyDescent="0.3">
      <c r="F93" s="202"/>
    </row>
    <row r="94" spans="6:7" x14ac:dyDescent="0.3">
      <c r="F94" s="202"/>
    </row>
    <row r="95" spans="6:7" x14ac:dyDescent="0.3">
      <c r="F95" s="202"/>
    </row>
    <row r="96" spans="6:7" x14ac:dyDescent="0.3">
      <c r="F96" s="202"/>
    </row>
    <row r="97" spans="6:7" x14ac:dyDescent="0.3">
      <c r="F97" s="208" t="s">
        <v>568</v>
      </c>
      <c r="G97" s="212">
        <v>14</v>
      </c>
    </row>
    <row r="98" spans="6:7" x14ac:dyDescent="0.3">
      <c r="F98" s="203"/>
    </row>
    <row r="99" spans="6:7" x14ac:dyDescent="0.3">
      <c r="F99" s="203"/>
    </row>
    <row r="100" spans="6:7" x14ac:dyDescent="0.3">
      <c r="F100" s="202"/>
    </row>
    <row r="101" spans="6:7" x14ac:dyDescent="0.3">
      <c r="F101" s="208" t="s">
        <v>553</v>
      </c>
      <c r="G101" s="212">
        <v>11</v>
      </c>
    </row>
    <row r="102" spans="6:7" x14ac:dyDescent="0.3">
      <c r="F102" s="205"/>
    </row>
    <row r="103" spans="6:7" x14ac:dyDescent="0.3">
      <c r="F103" s="202"/>
    </row>
    <row r="104" spans="6:7" x14ac:dyDescent="0.3">
      <c r="F104" s="208" t="s">
        <v>557</v>
      </c>
      <c r="G104" s="212">
        <v>121</v>
      </c>
    </row>
    <row r="105" spans="6:7" x14ac:dyDescent="0.3">
      <c r="F105" s="205"/>
    </row>
    <row r="106" spans="6:7" x14ac:dyDescent="0.3">
      <c r="F106" s="205"/>
    </row>
    <row r="107" spans="6:7" x14ac:dyDescent="0.3">
      <c r="F107" s="205"/>
    </row>
    <row r="108" spans="6:7" x14ac:dyDescent="0.3">
      <c r="F108" s="202"/>
    </row>
    <row r="109" spans="6:7" x14ac:dyDescent="0.3">
      <c r="F109" s="202"/>
    </row>
    <row r="110" spans="6:7" x14ac:dyDescent="0.3">
      <c r="F110" s="202"/>
    </row>
    <row r="111" spans="6:7" x14ac:dyDescent="0.3">
      <c r="F111" s="208" t="s">
        <v>558</v>
      </c>
      <c r="G111" s="212">
        <v>25</v>
      </c>
    </row>
    <row r="112" spans="6:7" x14ac:dyDescent="0.3">
      <c r="F112" s="208" t="s">
        <v>559</v>
      </c>
      <c r="G112" s="212">
        <v>210</v>
      </c>
    </row>
    <row r="113" spans="6:7" x14ac:dyDescent="0.3">
      <c r="F113" s="202"/>
    </row>
    <row r="114" spans="6:7" x14ac:dyDescent="0.3">
      <c r="F114" s="202"/>
    </row>
    <row r="115" spans="6:7" x14ac:dyDescent="0.3">
      <c r="F115" s="202"/>
    </row>
    <row r="116" spans="6:7" x14ac:dyDescent="0.3">
      <c r="F116" s="202"/>
    </row>
    <row r="117" spans="6:7" x14ac:dyDescent="0.3">
      <c r="F117" s="202"/>
    </row>
    <row r="118" spans="6:7" x14ac:dyDescent="0.3">
      <c r="F118" s="202"/>
    </row>
    <row r="119" spans="6:7" x14ac:dyDescent="0.3">
      <c r="F119" s="208" t="s">
        <v>560</v>
      </c>
      <c r="G119" s="212">
        <v>50</v>
      </c>
    </row>
    <row r="120" spans="6:7" x14ac:dyDescent="0.3">
      <c r="F120" s="208" t="s">
        <v>560</v>
      </c>
      <c r="G120" s="212">
        <v>50</v>
      </c>
    </row>
    <row r="121" spans="6:7" x14ac:dyDescent="0.3">
      <c r="F121" s="208" t="s">
        <v>560</v>
      </c>
      <c r="G121" s="212">
        <v>50</v>
      </c>
    </row>
    <row r="122" spans="6:7" x14ac:dyDescent="0.3">
      <c r="F122" s="208" t="s">
        <v>561</v>
      </c>
      <c r="G122" s="212">
        <v>35</v>
      </c>
    </row>
    <row r="123" spans="6:7" x14ac:dyDescent="0.3">
      <c r="F123" s="208" t="s">
        <v>561</v>
      </c>
      <c r="G123" s="212">
        <v>35</v>
      </c>
    </row>
    <row r="124" spans="6:7" x14ac:dyDescent="0.3">
      <c r="F124" s="208" t="s">
        <v>561</v>
      </c>
      <c r="G124" s="212">
        <v>35</v>
      </c>
    </row>
    <row r="125" spans="6:7" x14ac:dyDescent="0.3">
      <c r="F125" s="203"/>
    </row>
    <row r="126" spans="6:7" x14ac:dyDescent="0.3">
      <c r="F126" s="203"/>
    </row>
    <row r="127" spans="6:7" x14ac:dyDescent="0.3">
      <c r="F127" s="204"/>
    </row>
    <row r="128" spans="6:7" x14ac:dyDescent="0.3">
      <c r="F128" s="204"/>
    </row>
    <row r="129" spans="6:7" x14ac:dyDescent="0.3">
      <c r="F129" s="202"/>
    </row>
    <row r="130" spans="6:7" x14ac:dyDescent="0.3">
      <c r="F130" s="204"/>
    </row>
    <row r="131" spans="6:7" x14ac:dyDescent="0.3">
      <c r="F131" s="204"/>
    </row>
    <row r="132" spans="6:7" x14ac:dyDescent="0.3">
      <c r="F132" s="204"/>
    </row>
    <row r="133" spans="6:7" x14ac:dyDescent="0.3">
      <c r="F133" s="203"/>
    </row>
    <row r="134" spans="6:7" x14ac:dyDescent="0.3">
      <c r="F134" s="203"/>
    </row>
    <row r="135" spans="6:7" x14ac:dyDescent="0.3">
      <c r="F135" s="203"/>
    </row>
    <row r="136" spans="6:7" x14ac:dyDescent="0.3">
      <c r="F136" s="203"/>
    </row>
    <row r="137" spans="6:7" x14ac:dyDescent="0.3">
      <c r="F137" s="203"/>
    </row>
    <row r="138" spans="6:7" x14ac:dyDescent="0.3">
      <c r="F138" s="202"/>
    </row>
    <row r="139" spans="6:7" x14ac:dyDescent="0.3">
      <c r="F139" s="203"/>
    </row>
    <row r="140" spans="6:7" x14ac:dyDescent="0.3">
      <c r="F140" s="208" t="s">
        <v>562</v>
      </c>
      <c r="G140" s="212">
        <v>500</v>
      </c>
    </row>
    <row r="141" spans="6:7" x14ac:dyDescent="0.3">
      <c r="F141" s="208" t="s">
        <v>563</v>
      </c>
      <c r="G141" s="212">
        <v>77</v>
      </c>
    </row>
    <row r="142" spans="6:7" x14ac:dyDescent="0.3">
      <c r="F142" s="203"/>
    </row>
    <row r="143" spans="6:7" x14ac:dyDescent="0.3">
      <c r="F143" s="203"/>
    </row>
    <row r="144" spans="6:7" x14ac:dyDescent="0.3">
      <c r="F144" s="202"/>
    </row>
    <row r="145" spans="6:6" x14ac:dyDescent="0.3">
      <c r="F145" s="205"/>
    </row>
    <row r="146" spans="6:6" x14ac:dyDescent="0.3">
      <c r="F146" s="205"/>
    </row>
    <row r="147" spans="6:6" x14ac:dyDescent="0.3">
      <c r="F147" s="205"/>
    </row>
    <row r="148" spans="6:6" x14ac:dyDescent="0.3">
      <c r="F148" s="202"/>
    </row>
    <row r="149" spans="6:6" x14ac:dyDescent="0.3">
      <c r="F149" s="202"/>
    </row>
    <row r="150" spans="6:6" x14ac:dyDescent="0.3">
      <c r="F150" s="202"/>
    </row>
    <row r="151" spans="6:6" x14ac:dyDescent="0.3">
      <c r="F151" s="202"/>
    </row>
    <row r="152" spans="6:6" x14ac:dyDescent="0.3">
      <c r="F152" s="202"/>
    </row>
    <row r="153" spans="6:6" x14ac:dyDescent="0.3">
      <c r="F153" s="202"/>
    </row>
    <row r="154" spans="6:6" x14ac:dyDescent="0.3">
      <c r="F154" s="202"/>
    </row>
    <row r="155" spans="6:6" x14ac:dyDescent="0.3">
      <c r="F155" s="202"/>
    </row>
    <row r="156" spans="6:6" x14ac:dyDescent="0.3">
      <c r="F156" s="202"/>
    </row>
    <row r="157" spans="6:6" x14ac:dyDescent="0.3">
      <c r="F157" s="202"/>
    </row>
    <row r="158" spans="6:6" x14ac:dyDescent="0.3">
      <c r="F158" s="202"/>
    </row>
    <row r="159" spans="6:6" x14ac:dyDescent="0.3">
      <c r="F159" s="202"/>
    </row>
    <row r="160" spans="6:6" x14ac:dyDescent="0.3">
      <c r="F160" s="202"/>
    </row>
    <row r="161" spans="6:6" x14ac:dyDescent="0.3">
      <c r="F161" s="202"/>
    </row>
  </sheetData>
  <mergeCells count="2">
    <mergeCell ref="A1:C1"/>
    <mergeCell ref="O1:Q1"/>
  </mergeCells>
  <phoneticPr fontId="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25"/>
  <sheetViews>
    <sheetView workbookViewId="0">
      <selection activeCell="G63" sqref="G63"/>
    </sheetView>
  </sheetViews>
  <sheetFormatPr defaultColWidth="8.75" defaultRowHeight="13.5" x14ac:dyDescent="0.3"/>
  <cols>
    <col min="1" max="1" width="8.75" style="82"/>
    <col min="2" max="2" width="14.25" style="82" customWidth="1"/>
    <col min="3" max="3" width="18" style="82" customWidth="1"/>
    <col min="4" max="4" width="10.375" style="82" customWidth="1"/>
    <col min="5" max="6" width="8.75" style="82"/>
    <col min="7" max="7" width="12.375" style="82" customWidth="1"/>
    <col min="8" max="8" width="38.25" style="82" customWidth="1"/>
    <col min="9" max="9" width="8.75" style="82"/>
    <col min="10" max="10" width="12.5" style="82" customWidth="1"/>
    <col min="11" max="11" width="10.25" style="82" customWidth="1"/>
    <col min="12" max="12" width="24.125" style="82" customWidth="1"/>
    <col min="13" max="13" width="23.125" style="82" customWidth="1"/>
    <col min="14" max="16384" width="8.75" style="82"/>
  </cols>
  <sheetData>
    <row r="1" spans="2:13" x14ac:dyDescent="0.3">
      <c r="B1" s="82" t="s">
        <v>267</v>
      </c>
      <c r="F1" s="82" t="s">
        <v>268</v>
      </c>
      <c r="J1" s="82" t="s">
        <v>269</v>
      </c>
    </row>
    <row r="3" spans="2:13" ht="13.15" customHeight="1" x14ac:dyDescent="0.3">
      <c r="B3" s="93" t="s">
        <v>234</v>
      </c>
      <c r="C3" s="93" t="s">
        <v>235</v>
      </c>
      <c r="D3" s="93" t="s">
        <v>236</v>
      </c>
      <c r="F3" s="89" t="s">
        <v>258</v>
      </c>
      <c r="G3" s="89" t="s">
        <v>259</v>
      </c>
      <c r="H3" s="89" t="s">
        <v>260</v>
      </c>
      <c r="J3" s="93" t="s">
        <v>264</v>
      </c>
      <c r="K3" s="93" t="s">
        <v>235</v>
      </c>
      <c r="L3" s="93" t="s">
        <v>265</v>
      </c>
      <c r="M3" s="93" t="s">
        <v>266</v>
      </c>
    </row>
    <row r="4" spans="2:13" ht="12" customHeight="1" x14ac:dyDescent="0.3">
      <c r="B4" s="317" t="s">
        <v>237</v>
      </c>
      <c r="C4" s="98" t="s">
        <v>238</v>
      </c>
      <c r="D4" s="99" t="e">
        <f>'닥터아제라 제품리스트'!#REF!</f>
        <v>#REF!</v>
      </c>
      <c r="F4" s="90" t="s">
        <v>211</v>
      </c>
      <c r="G4" s="85" t="s">
        <v>55</v>
      </c>
      <c r="H4" s="83" t="s">
        <v>178</v>
      </c>
      <c r="J4" s="315" t="s">
        <v>242</v>
      </c>
      <c r="K4" s="315" t="s">
        <v>300</v>
      </c>
      <c r="L4" s="315" t="s">
        <v>299</v>
      </c>
      <c r="M4" s="315" t="s">
        <v>298</v>
      </c>
    </row>
    <row r="5" spans="2:13" ht="12" customHeight="1" thickBot="1" x14ac:dyDescent="0.35">
      <c r="B5" s="317"/>
      <c r="C5" s="100" t="s">
        <v>239</v>
      </c>
      <c r="D5" s="101" t="e">
        <f>'닥터아제라 제품리스트'!#REF!</f>
        <v>#REF!</v>
      </c>
      <c r="F5" s="319" t="s">
        <v>212</v>
      </c>
      <c r="G5" s="86" t="s">
        <v>214</v>
      </c>
      <c r="H5" s="83" t="s">
        <v>208</v>
      </c>
      <c r="J5" s="316"/>
      <c r="K5" s="316"/>
      <c r="L5" s="316"/>
      <c r="M5" s="316"/>
    </row>
    <row r="6" spans="2:13" ht="12" customHeight="1" thickTop="1" x14ac:dyDescent="0.3">
      <c r="B6" s="318"/>
      <c r="C6" s="102" t="s">
        <v>240</v>
      </c>
      <c r="D6" s="103" t="e">
        <f>'닥터아제라 제품리스트'!#REF!</f>
        <v>#REF!</v>
      </c>
      <c r="F6" s="319"/>
      <c r="G6" s="85" t="s">
        <v>217</v>
      </c>
      <c r="H6" s="83" t="s">
        <v>215</v>
      </c>
      <c r="J6" s="106" t="s">
        <v>256</v>
      </c>
      <c r="K6" s="106"/>
      <c r="L6" s="110" t="s">
        <v>297</v>
      </c>
      <c r="M6" s="110"/>
    </row>
    <row r="7" spans="2:13" ht="13.15" customHeight="1" x14ac:dyDescent="0.3">
      <c r="B7" s="96"/>
      <c r="C7" s="97" t="s">
        <v>241</v>
      </c>
      <c r="D7" s="95" t="e">
        <f>SUM(D4:D6)</f>
        <v>#REF!</v>
      </c>
      <c r="F7" s="319" t="s">
        <v>218</v>
      </c>
      <c r="G7" s="85" t="s">
        <v>219</v>
      </c>
      <c r="H7" s="84" t="s">
        <v>225</v>
      </c>
    </row>
    <row r="8" spans="2:13" ht="12" customHeight="1" x14ac:dyDescent="0.3">
      <c r="B8" s="317" t="s">
        <v>242</v>
      </c>
      <c r="C8" s="98" t="s">
        <v>243</v>
      </c>
      <c r="D8" s="99" t="e">
        <f>'닥터아제라 제품리스트'!#REF!</f>
        <v>#REF!</v>
      </c>
      <c r="F8" s="319"/>
      <c r="G8" s="321" t="s">
        <v>226</v>
      </c>
      <c r="H8" s="108" t="s">
        <v>220</v>
      </c>
    </row>
    <row r="9" spans="2:13" ht="12" customHeight="1" x14ac:dyDescent="0.3">
      <c r="B9" s="317"/>
      <c r="C9" s="100" t="s">
        <v>230</v>
      </c>
      <c r="D9" s="101" t="e">
        <f>'닥터아제라 제품리스트'!#REF!</f>
        <v>#REF!</v>
      </c>
      <c r="F9" s="319"/>
      <c r="G9" s="321"/>
      <c r="H9" s="109" t="s">
        <v>221</v>
      </c>
    </row>
    <row r="10" spans="2:13" ht="12" customHeight="1" x14ac:dyDescent="0.3">
      <c r="B10" s="317"/>
      <c r="C10" s="100" t="s">
        <v>244</v>
      </c>
      <c r="D10" s="101" t="e">
        <f>'닥터아제라 제품리스트'!#REF!</f>
        <v>#REF!</v>
      </c>
      <c r="F10" s="319"/>
      <c r="G10" s="321" t="s">
        <v>228</v>
      </c>
      <c r="H10" s="108" t="s">
        <v>222</v>
      </c>
    </row>
    <row r="11" spans="2:13" ht="12" customHeight="1" x14ac:dyDescent="0.3">
      <c r="B11" s="317"/>
      <c r="C11" s="100" t="s">
        <v>245</v>
      </c>
      <c r="D11" s="101" t="e">
        <f>'닥터아제라 제품리스트'!#REF!</f>
        <v>#REF!</v>
      </c>
      <c r="F11" s="319"/>
      <c r="G11" s="321"/>
      <c r="H11" s="109" t="s">
        <v>223</v>
      </c>
    </row>
    <row r="12" spans="2:13" ht="12" customHeight="1" thickBot="1" x14ac:dyDescent="0.35">
      <c r="B12" s="317"/>
      <c r="C12" s="100" t="s">
        <v>246</v>
      </c>
      <c r="D12" s="101" t="e">
        <f>'닥터아제라 제품리스트'!#REF!</f>
        <v>#REF!</v>
      </c>
      <c r="F12" s="320"/>
      <c r="G12" s="87" t="s">
        <v>227</v>
      </c>
      <c r="H12" s="88" t="s">
        <v>224</v>
      </c>
    </row>
    <row r="13" spans="2:13" ht="12" customHeight="1" thickTop="1" x14ac:dyDescent="0.3">
      <c r="B13" s="317"/>
      <c r="C13" s="100" t="s">
        <v>247</v>
      </c>
      <c r="D13" s="101" t="e">
        <f>'닥터아제라 제품리스트'!#REF!</f>
        <v>#REF!</v>
      </c>
      <c r="F13" s="91" t="s">
        <v>261</v>
      </c>
      <c r="G13" s="92" t="s">
        <v>262</v>
      </c>
      <c r="H13" s="92" t="s">
        <v>263</v>
      </c>
    </row>
    <row r="14" spans="2:13" ht="12" customHeight="1" x14ac:dyDescent="0.3">
      <c r="B14" s="317"/>
      <c r="C14" s="100" t="s">
        <v>248</v>
      </c>
      <c r="D14" s="101" t="e">
        <f>'닥터아제라 제품리스트'!#REF!</f>
        <v>#REF!</v>
      </c>
    </row>
    <row r="15" spans="2:13" ht="12" customHeight="1" x14ac:dyDescent="0.3">
      <c r="B15" s="317"/>
      <c r="C15" s="100" t="s">
        <v>249</v>
      </c>
      <c r="D15" s="101" t="e">
        <f>'닥터아제라 제품리스트'!#REF!</f>
        <v>#REF!</v>
      </c>
    </row>
    <row r="16" spans="2:13" ht="12" customHeight="1" x14ac:dyDescent="0.3">
      <c r="B16" s="317"/>
      <c r="C16" s="100" t="s">
        <v>250</v>
      </c>
      <c r="D16" s="101" t="e">
        <f>'닥터아제라 제품리스트'!#REF!</f>
        <v>#REF!</v>
      </c>
    </row>
    <row r="17" spans="2:4" ht="12" customHeight="1" x14ac:dyDescent="0.3">
      <c r="B17" s="317"/>
      <c r="C17" s="100" t="s">
        <v>213</v>
      </c>
      <c r="D17" s="101" t="e">
        <f>'닥터아제라 제품리스트'!#REF!</f>
        <v>#REF!</v>
      </c>
    </row>
    <row r="18" spans="2:4" ht="12" customHeight="1" x14ac:dyDescent="0.3">
      <c r="B18" s="317"/>
      <c r="C18" s="100" t="s">
        <v>251</v>
      </c>
      <c r="D18" s="101" t="e">
        <f>'닥터아제라 제품리스트'!#REF!</f>
        <v>#REF!</v>
      </c>
    </row>
    <row r="19" spans="2:4" ht="12" customHeight="1" x14ac:dyDescent="0.3">
      <c r="B19" s="317"/>
      <c r="C19" s="100" t="s">
        <v>252</v>
      </c>
      <c r="D19" s="101" t="e">
        <f>'닥터아제라 제품리스트'!#REF!</f>
        <v>#REF!</v>
      </c>
    </row>
    <row r="20" spans="2:4" ht="12" customHeight="1" x14ac:dyDescent="0.3">
      <c r="B20" s="317"/>
      <c r="C20" s="100" t="s">
        <v>253</v>
      </c>
      <c r="D20" s="101" t="e">
        <f>'닥터아제라 제품리스트'!#REF!</f>
        <v>#REF!</v>
      </c>
    </row>
    <row r="21" spans="2:4" ht="12" customHeight="1" x14ac:dyDescent="0.3">
      <c r="B21" s="318"/>
      <c r="C21" s="102" t="s">
        <v>254</v>
      </c>
      <c r="D21" s="103" t="e">
        <f>'닥터아제라 제품리스트'!#REF!</f>
        <v>#REF!</v>
      </c>
    </row>
    <row r="22" spans="2:4" ht="13.15" customHeight="1" x14ac:dyDescent="0.3">
      <c r="B22" s="96"/>
      <c r="C22" s="97" t="s">
        <v>241</v>
      </c>
      <c r="D22" s="95" t="e">
        <f>SUM(D8:D21)</f>
        <v>#REF!</v>
      </c>
    </row>
    <row r="23" spans="2:4" ht="13.15" customHeight="1" x14ac:dyDescent="0.3">
      <c r="B23" s="94" t="s">
        <v>255</v>
      </c>
      <c r="C23" s="94" t="s">
        <v>255</v>
      </c>
      <c r="D23" s="95" t="e">
        <f>'닥터아제라 제품리스트'!#REF!</f>
        <v>#REF!</v>
      </c>
    </row>
    <row r="24" spans="2:4" ht="13.15" customHeight="1" thickBot="1" x14ac:dyDescent="0.35">
      <c r="B24" s="104" t="s">
        <v>217</v>
      </c>
      <c r="C24" s="104" t="s">
        <v>217</v>
      </c>
      <c r="D24" s="105" t="e">
        <f>'닥터아제라 제품리스트'!#REF!</f>
        <v>#REF!</v>
      </c>
    </row>
    <row r="25" spans="2:4" ht="13.15" customHeight="1" thickTop="1" x14ac:dyDescent="0.3">
      <c r="B25" s="106" t="s">
        <v>256</v>
      </c>
      <c r="C25" s="106" t="s">
        <v>257</v>
      </c>
      <c r="D25" s="107" t="e">
        <f>D7+D22+D23+D24</f>
        <v>#REF!</v>
      </c>
    </row>
  </sheetData>
  <mergeCells count="10">
    <mergeCell ref="B8:B21"/>
    <mergeCell ref="F5:F6"/>
    <mergeCell ref="F7:F12"/>
    <mergeCell ref="G8:G9"/>
    <mergeCell ref="G10:G11"/>
    <mergeCell ref="L4:L5"/>
    <mergeCell ref="M4:M5"/>
    <mergeCell ref="K4:K5"/>
    <mergeCell ref="J4:J5"/>
    <mergeCell ref="B4:B6"/>
  </mergeCells>
  <phoneticPr fontId="4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2"/>
  <sheetViews>
    <sheetView workbookViewId="0">
      <selection activeCell="G63" sqref="G63"/>
    </sheetView>
  </sheetViews>
  <sheetFormatPr defaultRowHeight="16.5" x14ac:dyDescent="0.3"/>
  <cols>
    <col min="1" max="1" width="51.75" style="120" bestFit="1" customWidth="1"/>
    <col min="2" max="2" width="62.375" style="120" customWidth="1"/>
    <col min="3" max="3" width="62.75" bestFit="1" customWidth="1"/>
    <col min="4" max="4" width="11.125" bestFit="1" customWidth="1"/>
  </cols>
  <sheetData>
    <row r="1" spans="1:4" ht="17.25" thickBot="1" x14ac:dyDescent="0.35">
      <c r="A1" s="119" t="s">
        <v>313</v>
      </c>
      <c r="C1" s="120"/>
      <c r="D1" s="120"/>
    </row>
    <row r="2" spans="1:4" ht="17.25" thickBot="1" x14ac:dyDescent="0.35">
      <c r="C2" s="121"/>
      <c r="D2" s="122"/>
    </row>
    <row r="3" spans="1:4" x14ac:dyDescent="0.3">
      <c r="A3" s="123" t="s">
        <v>309</v>
      </c>
      <c r="B3" s="124" t="s">
        <v>310</v>
      </c>
      <c r="C3" s="124" t="s">
        <v>311</v>
      </c>
      <c r="D3" s="125" t="s">
        <v>312</v>
      </c>
    </row>
    <row r="4" spans="1:4" x14ac:dyDescent="0.3">
      <c r="A4" s="127" t="s">
        <v>314</v>
      </c>
      <c r="B4" s="127" t="s">
        <v>315</v>
      </c>
      <c r="C4" s="126"/>
      <c r="D4" s="128">
        <v>43105</v>
      </c>
    </row>
    <row r="5" spans="1:4" x14ac:dyDescent="0.3">
      <c r="A5" s="127" t="s">
        <v>316</v>
      </c>
      <c r="B5" s="127" t="s">
        <v>317</v>
      </c>
      <c r="C5" s="126" t="s">
        <v>324</v>
      </c>
      <c r="D5" s="128">
        <v>43108</v>
      </c>
    </row>
    <row r="6" spans="1:4" x14ac:dyDescent="0.3">
      <c r="A6" s="127" t="s">
        <v>306</v>
      </c>
      <c r="B6" s="127" t="s">
        <v>317</v>
      </c>
      <c r="C6" s="126" t="s">
        <v>324</v>
      </c>
      <c r="D6" s="128">
        <v>43108</v>
      </c>
    </row>
    <row r="7" spans="1:4" x14ac:dyDescent="0.3">
      <c r="A7" s="127" t="s">
        <v>319</v>
      </c>
      <c r="B7" s="127" t="s">
        <v>317</v>
      </c>
      <c r="C7" s="126"/>
      <c r="D7" s="128">
        <v>43108</v>
      </c>
    </row>
    <row r="8" spans="1:4" x14ac:dyDescent="0.3">
      <c r="A8" s="127" t="s">
        <v>320</v>
      </c>
      <c r="B8" s="127" t="s">
        <v>317</v>
      </c>
      <c r="C8" s="126"/>
      <c r="D8" s="128">
        <v>43108</v>
      </c>
    </row>
    <row r="9" spans="1:4" x14ac:dyDescent="0.3">
      <c r="A9" s="127" t="s">
        <v>321</v>
      </c>
      <c r="B9" s="127" t="s">
        <v>317</v>
      </c>
      <c r="C9" s="126"/>
      <c r="D9" s="128">
        <v>43108</v>
      </c>
    </row>
    <row r="10" spans="1:4" x14ac:dyDescent="0.3">
      <c r="A10" s="127" t="s">
        <v>322</v>
      </c>
      <c r="B10" s="127" t="s">
        <v>317</v>
      </c>
      <c r="C10" s="126"/>
      <c r="D10" s="128">
        <v>43108</v>
      </c>
    </row>
    <row r="11" spans="1:4" x14ac:dyDescent="0.3">
      <c r="A11" s="127" t="s">
        <v>323</v>
      </c>
      <c r="B11" s="127" t="s">
        <v>317</v>
      </c>
      <c r="C11" s="126"/>
      <c r="D11" s="128">
        <v>43108</v>
      </c>
    </row>
    <row r="12" spans="1:4" x14ac:dyDescent="0.3">
      <c r="A12" s="127" t="s">
        <v>208</v>
      </c>
      <c r="B12" s="127" t="s">
        <v>325</v>
      </c>
      <c r="C12" s="126" t="s">
        <v>327</v>
      </c>
      <c r="D12" s="128">
        <v>43109</v>
      </c>
    </row>
    <row r="13" spans="1:4" x14ac:dyDescent="0.3">
      <c r="A13" s="127" t="s">
        <v>215</v>
      </c>
      <c r="B13" s="127" t="s">
        <v>326</v>
      </c>
      <c r="C13" s="126" t="s">
        <v>327</v>
      </c>
      <c r="D13" s="128">
        <v>43109</v>
      </c>
    </row>
    <row r="14" spans="1:4" x14ac:dyDescent="0.3">
      <c r="A14" s="149" t="s">
        <v>332</v>
      </c>
      <c r="B14" s="127" t="s">
        <v>333</v>
      </c>
      <c r="C14" s="126"/>
      <c r="D14" s="128">
        <v>43112</v>
      </c>
    </row>
    <row r="15" spans="1:4" x14ac:dyDescent="0.3">
      <c r="A15" s="127" t="s">
        <v>334</v>
      </c>
      <c r="B15" s="127" t="s">
        <v>335</v>
      </c>
      <c r="C15" s="126" t="s">
        <v>327</v>
      </c>
      <c r="D15" s="128">
        <v>43112</v>
      </c>
    </row>
    <row r="16" spans="1:4" x14ac:dyDescent="0.3">
      <c r="A16" s="127" t="s">
        <v>316</v>
      </c>
      <c r="B16" s="127" t="s">
        <v>337</v>
      </c>
      <c r="C16" s="126"/>
      <c r="D16" s="128">
        <v>43112</v>
      </c>
    </row>
    <row r="17" spans="1:4" x14ac:dyDescent="0.3">
      <c r="A17" s="127" t="s">
        <v>306</v>
      </c>
      <c r="B17" s="127" t="s">
        <v>337</v>
      </c>
      <c r="C17" s="126"/>
      <c r="D17" s="128">
        <v>43112</v>
      </c>
    </row>
    <row r="18" spans="1:4" x14ac:dyDescent="0.3">
      <c r="A18" s="127" t="s">
        <v>220</v>
      </c>
      <c r="B18" s="127" t="s">
        <v>500</v>
      </c>
      <c r="C18" s="126" t="s">
        <v>499</v>
      </c>
      <c r="D18" s="128">
        <v>43112</v>
      </c>
    </row>
    <row r="19" spans="1:4" x14ac:dyDescent="0.3">
      <c r="A19" s="127" t="s">
        <v>221</v>
      </c>
      <c r="B19" s="127" t="s">
        <v>500</v>
      </c>
      <c r="C19" s="126" t="s">
        <v>499</v>
      </c>
      <c r="D19" s="128">
        <v>43112</v>
      </c>
    </row>
    <row r="20" spans="1:4" x14ac:dyDescent="0.3">
      <c r="A20" s="127" t="s">
        <v>222</v>
      </c>
      <c r="B20" s="127" t="s">
        <v>500</v>
      </c>
      <c r="C20" s="126" t="s">
        <v>499</v>
      </c>
      <c r="D20" s="128">
        <v>43112</v>
      </c>
    </row>
    <row r="21" spans="1:4" x14ac:dyDescent="0.3">
      <c r="A21" s="127" t="s">
        <v>223</v>
      </c>
      <c r="B21" s="127" t="s">
        <v>500</v>
      </c>
      <c r="C21" s="126" t="s">
        <v>499</v>
      </c>
      <c r="D21" s="128">
        <v>43112</v>
      </c>
    </row>
    <row r="22" spans="1:4" x14ac:dyDescent="0.3">
      <c r="A22" s="127" t="s">
        <v>224</v>
      </c>
      <c r="B22" s="127" t="s">
        <v>500</v>
      </c>
      <c r="C22" s="126" t="s">
        <v>499</v>
      </c>
      <c r="D22" s="128">
        <v>43112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18"/>
  <sheetViews>
    <sheetView workbookViewId="0">
      <selection activeCell="O1" sqref="O1:Q1048576"/>
    </sheetView>
  </sheetViews>
  <sheetFormatPr defaultRowHeight="13.5" x14ac:dyDescent="0.3"/>
  <cols>
    <col min="1" max="1" width="9" style="262"/>
    <col min="2" max="2" width="13.875" style="262" bestFit="1" customWidth="1"/>
    <col min="3" max="3" width="9" style="262"/>
    <col min="4" max="4" width="15.625" style="262" customWidth="1"/>
    <col min="5" max="5" width="15" style="262" bestFit="1" customWidth="1"/>
    <col min="6" max="6" width="43" style="262" bestFit="1" customWidth="1"/>
    <col min="7" max="17" width="9" style="262"/>
    <col min="18" max="18" width="9" style="262" customWidth="1"/>
    <col min="19" max="16384" width="9" style="262"/>
  </cols>
  <sheetData>
    <row r="1" spans="1:17" ht="19.5" customHeight="1" x14ac:dyDescent="0.3">
      <c r="A1" s="250" t="s">
        <v>614</v>
      </c>
      <c r="J1" s="264">
        <v>0.22</v>
      </c>
    </row>
    <row r="2" spans="1:17" s="243" customFormat="1" ht="30" customHeight="1" x14ac:dyDescent="0.3">
      <c r="A2" s="226" t="s">
        <v>586</v>
      </c>
      <c r="B2" s="226" t="s">
        <v>589</v>
      </c>
      <c r="C2" s="226" t="s">
        <v>186</v>
      </c>
      <c r="D2" s="226" t="s">
        <v>590</v>
      </c>
      <c r="E2" s="227" t="s">
        <v>1</v>
      </c>
      <c r="F2" s="226" t="s">
        <v>582</v>
      </c>
      <c r="G2" s="228" t="s">
        <v>95</v>
      </c>
      <c r="H2" s="229"/>
      <c r="I2" s="230" t="s">
        <v>170</v>
      </c>
      <c r="J2" s="231" t="s">
        <v>587</v>
      </c>
      <c r="K2" s="244" t="s">
        <v>600</v>
      </c>
      <c r="L2" s="230" t="s">
        <v>194</v>
      </c>
      <c r="M2" s="245" t="s">
        <v>588</v>
      </c>
      <c r="N2" s="253" t="s">
        <v>601</v>
      </c>
      <c r="O2" s="232" t="s">
        <v>99</v>
      </c>
      <c r="P2" s="254" t="s">
        <v>602</v>
      </c>
      <c r="Q2" s="254" t="s">
        <v>603</v>
      </c>
    </row>
    <row r="3" spans="1:17" s="243" customFormat="1" ht="15" customHeight="1" x14ac:dyDescent="0.3">
      <c r="A3" s="260" t="s">
        <v>593</v>
      </c>
      <c r="B3" s="257">
        <v>9808410001259</v>
      </c>
      <c r="C3" s="322" t="s">
        <v>190</v>
      </c>
      <c r="D3" s="252" t="s">
        <v>229</v>
      </c>
      <c r="E3" s="252" t="s">
        <v>584</v>
      </c>
      <c r="F3" s="249" t="s">
        <v>581</v>
      </c>
      <c r="G3" s="233" t="s">
        <v>609</v>
      </c>
      <c r="H3" s="234" t="s">
        <v>198</v>
      </c>
      <c r="I3" s="235">
        <v>30000</v>
      </c>
      <c r="J3" s="241">
        <f>I3*$J$1</f>
        <v>6600</v>
      </c>
      <c r="K3" s="248">
        <f t="shared" ref="K3:K4" si="0">(J3-L3)/I3</f>
        <v>0.13666666666666666</v>
      </c>
      <c r="L3" s="237">
        <v>2500</v>
      </c>
      <c r="M3" s="247">
        <f t="shared" ref="M3:M13" si="1">L3/I3</f>
        <v>8.3333333333333329E-2</v>
      </c>
      <c r="N3" s="251">
        <f t="shared" ref="N3:N13" si="2">(J3-L3)/J3</f>
        <v>0.62121212121212122</v>
      </c>
      <c r="O3" s="239">
        <v>2409.0000000000005</v>
      </c>
      <c r="P3" s="255">
        <f t="shared" ref="P3:P13" si="3">L3-O3</f>
        <v>90.999999999999545</v>
      </c>
      <c r="Q3" s="256">
        <f t="shared" ref="Q3:Q13" si="4">P3/O3</f>
        <v>3.7775010377749905E-2</v>
      </c>
    </row>
    <row r="4" spans="1:17" s="243" customFormat="1" ht="15" customHeight="1" x14ac:dyDescent="0.3">
      <c r="A4" s="260" t="s">
        <v>592</v>
      </c>
      <c r="B4" s="257">
        <v>9810592000308</v>
      </c>
      <c r="C4" s="323"/>
      <c r="D4" s="252" t="s">
        <v>229</v>
      </c>
      <c r="E4" s="252" t="s">
        <v>67</v>
      </c>
      <c r="F4" s="238" t="s">
        <v>483</v>
      </c>
      <c r="G4" s="234">
        <v>60</v>
      </c>
      <c r="H4" s="258" t="s">
        <v>72</v>
      </c>
      <c r="I4" s="242">
        <v>23000</v>
      </c>
      <c r="J4" s="241">
        <f t="shared" ref="J4:J18" si="5">I4*$J$1</f>
        <v>5060</v>
      </c>
      <c r="K4" s="236">
        <f t="shared" si="0"/>
        <v>5.9130434782608696E-2</v>
      </c>
      <c r="L4" s="237">
        <v>3700</v>
      </c>
      <c r="M4" s="247">
        <f t="shared" si="1"/>
        <v>0.16086956521739129</v>
      </c>
      <c r="N4" s="251">
        <f t="shared" si="2"/>
        <v>0.26877470355731226</v>
      </c>
      <c r="O4" s="239">
        <v>3504.6</v>
      </c>
      <c r="P4" s="255">
        <f t="shared" si="3"/>
        <v>195.40000000000009</v>
      </c>
      <c r="Q4" s="256">
        <f t="shared" si="4"/>
        <v>5.5755293043428661E-2</v>
      </c>
    </row>
    <row r="5" spans="1:17" s="243" customFormat="1" ht="15" customHeight="1" x14ac:dyDescent="0.3">
      <c r="A5" s="260" t="s">
        <v>610</v>
      </c>
      <c r="B5" s="257">
        <v>9810592000257</v>
      </c>
      <c r="C5" s="323"/>
      <c r="D5" s="252" t="s">
        <v>229</v>
      </c>
      <c r="E5" s="252" t="s">
        <v>67</v>
      </c>
      <c r="F5" s="238" t="s">
        <v>481</v>
      </c>
      <c r="G5" s="240">
        <v>90</v>
      </c>
      <c r="H5" s="258" t="s">
        <v>72</v>
      </c>
      <c r="I5" s="242">
        <v>21000</v>
      </c>
      <c r="J5" s="241">
        <f t="shared" si="5"/>
        <v>4620</v>
      </c>
      <c r="K5" s="236">
        <f t="shared" ref="K5:K13" si="6">(J5-L5)/I5</f>
        <v>2.9523809523809525E-2</v>
      </c>
      <c r="L5" s="237">
        <v>4000</v>
      </c>
      <c r="M5" s="247">
        <f t="shared" si="1"/>
        <v>0.19047619047619047</v>
      </c>
      <c r="N5" s="251">
        <f t="shared" si="2"/>
        <v>0.13419913419913421</v>
      </c>
      <c r="O5" s="239">
        <v>3553</v>
      </c>
      <c r="P5" s="255">
        <f t="shared" si="3"/>
        <v>447</v>
      </c>
      <c r="Q5" s="256">
        <f t="shared" si="4"/>
        <v>0.12580917534477906</v>
      </c>
    </row>
    <row r="6" spans="1:17" s="243" customFormat="1" ht="15" customHeight="1" x14ac:dyDescent="0.3">
      <c r="A6" s="260" t="s">
        <v>596</v>
      </c>
      <c r="B6" s="257">
        <v>9810592000126</v>
      </c>
      <c r="C6" s="323"/>
      <c r="D6" s="263" t="s">
        <v>205</v>
      </c>
      <c r="E6" s="252" t="s">
        <v>45</v>
      </c>
      <c r="F6" s="238" t="s">
        <v>434</v>
      </c>
      <c r="G6" s="240">
        <v>50</v>
      </c>
      <c r="H6" s="258" t="s">
        <v>8</v>
      </c>
      <c r="I6" s="235">
        <v>24000</v>
      </c>
      <c r="J6" s="241">
        <f t="shared" si="5"/>
        <v>5280</v>
      </c>
      <c r="K6" s="236">
        <f t="shared" si="6"/>
        <v>0.11583333333333333</v>
      </c>
      <c r="L6" s="237">
        <v>2500</v>
      </c>
      <c r="M6" s="247">
        <f t="shared" si="1"/>
        <v>0.10416666666666667</v>
      </c>
      <c r="N6" s="251">
        <f t="shared" si="2"/>
        <v>0.52651515151515149</v>
      </c>
      <c r="O6" s="239">
        <v>2239</v>
      </c>
      <c r="P6" s="255">
        <f t="shared" si="3"/>
        <v>261</v>
      </c>
      <c r="Q6" s="256">
        <f t="shared" si="4"/>
        <v>0.11656989727556945</v>
      </c>
    </row>
    <row r="7" spans="1:17" s="243" customFormat="1" ht="15" customHeight="1" x14ac:dyDescent="0.3">
      <c r="A7" s="260" t="s">
        <v>594</v>
      </c>
      <c r="B7" s="257">
        <v>9810592000127</v>
      </c>
      <c r="C7" s="323"/>
      <c r="D7" s="263" t="s">
        <v>205</v>
      </c>
      <c r="E7" s="252" t="s">
        <v>45</v>
      </c>
      <c r="F7" s="238" t="s">
        <v>431</v>
      </c>
      <c r="G7" s="234">
        <v>150</v>
      </c>
      <c r="H7" s="258" t="s">
        <v>16</v>
      </c>
      <c r="I7" s="235">
        <v>27000</v>
      </c>
      <c r="J7" s="241">
        <f t="shared" si="5"/>
        <v>5940</v>
      </c>
      <c r="K7" s="236">
        <f t="shared" si="6"/>
        <v>9.7777777777777783E-2</v>
      </c>
      <c r="L7" s="237">
        <v>3300</v>
      </c>
      <c r="M7" s="247">
        <f t="shared" si="1"/>
        <v>0.12222222222222222</v>
      </c>
      <c r="N7" s="251">
        <f t="shared" si="2"/>
        <v>0.44444444444444442</v>
      </c>
      <c r="O7" s="239">
        <v>3133</v>
      </c>
      <c r="P7" s="255">
        <f t="shared" si="3"/>
        <v>167</v>
      </c>
      <c r="Q7" s="256">
        <f t="shared" si="4"/>
        <v>5.3303542930098945E-2</v>
      </c>
    </row>
    <row r="8" spans="1:17" s="243" customFormat="1" ht="15" customHeight="1" x14ac:dyDescent="0.3">
      <c r="A8" s="260" t="s">
        <v>595</v>
      </c>
      <c r="B8" s="257">
        <v>9810592000130</v>
      </c>
      <c r="C8" s="323"/>
      <c r="D8" s="263" t="s">
        <v>205</v>
      </c>
      <c r="E8" s="252" t="s">
        <v>45</v>
      </c>
      <c r="F8" s="238" t="s">
        <v>433</v>
      </c>
      <c r="G8" s="240">
        <v>30</v>
      </c>
      <c r="H8" s="258" t="s">
        <v>8</v>
      </c>
      <c r="I8" s="235">
        <v>15000</v>
      </c>
      <c r="J8" s="241">
        <f t="shared" si="5"/>
        <v>3300</v>
      </c>
      <c r="K8" s="236">
        <f t="shared" si="6"/>
        <v>0.11333333333333333</v>
      </c>
      <c r="L8" s="237">
        <v>1600</v>
      </c>
      <c r="M8" s="247">
        <f t="shared" si="1"/>
        <v>0.10666666666666667</v>
      </c>
      <c r="N8" s="251">
        <f t="shared" si="2"/>
        <v>0.51515151515151514</v>
      </c>
      <c r="O8" s="239">
        <v>1469</v>
      </c>
      <c r="P8" s="255">
        <f t="shared" si="3"/>
        <v>131</v>
      </c>
      <c r="Q8" s="256">
        <f t="shared" si="4"/>
        <v>8.9176310415248469E-2</v>
      </c>
    </row>
    <row r="9" spans="1:17" s="40" customFormat="1" ht="15" customHeight="1" x14ac:dyDescent="0.3">
      <c r="A9" s="260" t="s">
        <v>597</v>
      </c>
      <c r="B9" s="257">
        <v>9810592000309</v>
      </c>
      <c r="C9" s="323"/>
      <c r="D9" s="261" t="s">
        <v>39</v>
      </c>
      <c r="E9" s="259" t="s">
        <v>40</v>
      </c>
      <c r="F9" s="238" t="s">
        <v>437</v>
      </c>
      <c r="G9" s="240">
        <v>150</v>
      </c>
      <c r="H9" s="258" t="s">
        <v>16</v>
      </c>
      <c r="I9" s="235">
        <v>26000</v>
      </c>
      <c r="J9" s="241">
        <f t="shared" si="5"/>
        <v>5720</v>
      </c>
      <c r="K9" s="236">
        <f t="shared" si="6"/>
        <v>9.6923076923076917E-2</v>
      </c>
      <c r="L9" s="237">
        <v>3200</v>
      </c>
      <c r="M9" s="247">
        <f t="shared" si="1"/>
        <v>0.12307692307692308</v>
      </c>
      <c r="N9" s="251">
        <f t="shared" si="2"/>
        <v>0.44055944055944057</v>
      </c>
      <c r="O9" s="239">
        <v>2882</v>
      </c>
      <c r="P9" s="255">
        <f t="shared" si="3"/>
        <v>318</v>
      </c>
      <c r="Q9" s="256">
        <f t="shared" si="4"/>
        <v>0.11034004163775156</v>
      </c>
    </row>
    <row r="10" spans="1:17" s="40" customFormat="1" ht="15" customHeight="1" x14ac:dyDescent="0.3">
      <c r="A10" s="260" t="s">
        <v>611</v>
      </c>
      <c r="B10" s="257">
        <v>9810592000312</v>
      </c>
      <c r="C10" s="323"/>
      <c r="D10" s="261" t="s">
        <v>39</v>
      </c>
      <c r="E10" s="259" t="s">
        <v>40</v>
      </c>
      <c r="F10" s="238" t="s">
        <v>439</v>
      </c>
      <c r="G10" s="234">
        <v>30</v>
      </c>
      <c r="H10" s="258" t="s">
        <v>16</v>
      </c>
      <c r="I10" s="235">
        <v>25000</v>
      </c>
      <c r="J10" s="241">
        <f t="shared" si="5"/>
        <v>5500</v>
      </c>
      <c r="K10" s="236">
        <f t="shared" si="6"/>
        <v>0.11600000000000001</v>
      </c>
      <c r="L10" s="237">
        <v>2600</v>
      </c>
      <c r="M10" s="247">
        <f t="shared" si="1"/>
        <v>0.104</v>
      </c>
      <c r="N10" s="251">
        <f t="shared" si="2"/>
        <v>0.52727272727272723</v>
      </c>
      <c r="O10" s="239">
        <v>2431</v>
      </c>
      <c r="P10" s="255">
        <f t="shared" si="3"/>
        <v>169</v>
      </c>
      <c r="Q10" s="256">
        <f t="shared" si="4"/>
        <v>6.9518716577540107E-2</v>
      </c>
    </row>
    <row r="11" spans="1:17" s="40" customFormat="1" ht="15" customHeight="1" x14ac:dyDescent="0.3">
      <c r="A11" s="260" t="s">
        <v>612</v>
      </c>
      <c r="B11" s="257">
        <v>9810592000311</v>
      </c>
      <c r="C11" s="323"/>
      <c r="D11" s="261" t="s">
        <v>39</v>
      </c>
      <c r="E11" s="259" t="s">
        <v>40</v>
      </c>
      <c r="F11" s="238" t="s">
        <v>438</v>
      </c>
      <c r="G11" s="240">
        <v>50</v>
      </c>
      <c r="H11" s="258" t="s">
        <v>8</v>
      </c>
      <c r="I11" s="235">
        <v>24000</v>
      </c>
      <c r="J11" s="241">
        <f t="shared" si="5"/>
        <v>5280</v>
      </c>
      <c r="K11" s="236">
        <f t="shared" si="6"/>
        <v>9.9166666666666667E-2</v>
      </c>
      <c r="L11" s="237">
        <v>2900</v>
      </c>
      <c r="M11" s="247">
        <f t="shared" si="1"/>
        <v>0.12083333333333333</v>
      </c>
      <c r="N11" s="251">
        <f t="shared" si="2"/>
        <v>0.45075757575757575</v>
      </c>
      <c r="O11" s="239">
        <v>2657</v>
      </c>
      <c r="P11" s="255">
        <f t="shared" si="3"/>
        <v>243</v>
      </c>
      <c r="Q11" s="256">
        <f t="shared" si="4"/>
        <v>9.1456529920963495E-2</v>
      </c>
    </row>
    <row r="12" spans="1:17" s="40" customFormat="1" ht="14.25" customHeight="1" x14ac:dyDescent="0.3">
      <c r="A12" s="260" t="s">
        <v>599</v>
      </c>
      <c r="B12" s="257">
        <v>9810592000124</v>
      </c>
      <c r="C12" s="323"/>
      <c r="D12" s="252" t="s">
        <v>87</v>
      </c>
      <c r="E12" s="252" t="s">
        <v>87</v>
      </c>
      <c r="F12" s="238" t="s">
        <v>585</v>
      </c>
      <c r="G12" s="240">
        <v>70</v>
      </c>
      <c r="H12" s="258" t="s">
        <v>8</v>
      </c>
      <c r="I12" s="235">
        <v>20000</v>
      </c>
      <c r="J12" s="241">
        <f t="shared" si="5"/>
        <v>4400</v>
      </c>
      <c r="K12" s="236">
        <f t="shared" si="6"/>
        <v>0.09</v>
      </c>
      <c r="L12" s="237">
        <v>2600</v>
      </c>
      <c r="M12" s="247">
        <f t="shared" si="1"/>
        <v>0.13</v>
      </c>
      <c r="N12" s="251">
        <f t="shared" si="2"/>
        <v>0.40909090909090912</v>
      </c>
      <c r="O12" s="239">
        <v>2435</v>
      </c>
      <c r="P12" s="255">
        <f t="shared" si="3"/>
        <v>165</v>
      </c>
      <c r="Q12" s="256">
        <f t="shared" si="4"/>
        <v>6.7761806981519512E-2</v>
      </c>
    </row>
    <row r="13" spans="1:17" s="40" customFormat="1" ht="14.25" customHeight="1" x14ac:dyDescent="0.3">
      <c r="A13" s="260" t="s">
        <v>598</v>
      </c>
      <c r="B13" s="257">
        <v>9810592000249</v>
      </c>
      <c r="C13" s="324"/>
      <c r="D13" s="252" t="s">
        <v>58</v>
      </c>
      <c r="E13" s="252" t="s">
        <v>59</v>
      </c>
      <c r="F13" s="238" t="s">
        <v>459</v>
      </c>
      <c r="G13" s="240">
        <v>120</v>
      </c>
      <c r="H13" s="258" t="s">
        <v>16</v>
      </c>
      <c r="I13" s="235">
        <v>12000</v>
      </c>
      <c r="J13" s="241">
        <f t="shared" si="5"/>
        <v>2640</v>
      </c>
      <c r="K13" s="236">
        <f t="shared" si="6"/>
        <v>7.0000000000000007E-2</v>
      </c>
      <c r="L13" s="237">
        <v>1800</v>
      </c>
      <c r="M13" s="247">
        <f t="shared" si="1"/>
        <v>0.15</v>
      </c>
      <c r="N13" s="251">
        <f t="shared" si="2"/>
        <v>0.31818181818181818</v>
      </c>
      <c r="O13" s="239">
        <v>1623</v>
      </c>
      <c r="P13" s="255">
        <f t="shared" si="3"/>
        <v>177</v>
      </c>
      <c r="Q13" s="256">
        <f t="shared" si="4"/>
        <v>0.10905730129390019</v>
      </c>
    </row>
    <row r="14" spans="1:17" s="40" customFormat="1" ht="15" customHeight="1" x14ac:dyDescent="0.3">
      <c r="A14" s="260" t="s">
        <v>608</v>
      </c>
      <c r="B14" s="257">
        <v>9810592000115</v>
      </c>
      <c r="C14" s="322" t="s">
        <v>187</v>
      </c>
      <c r="D14" s="252" t="s">
        <v>6</v>
      </c>
      <c r="E14" s="252" t="s">
        <v>7</v>
      </c>
      <c r="F14" s="238" t="s">
        <v>342</v>
      </c>
      <c r="G14" s="234">
        <v>30</v>
      </c>
      <c r="H14" s="258" t="s">
        <v>16</v>
      </c>
      <c r="I14" s="235">
        <v>15000</v>
      </c>
      <c r="J14" s="241">
        <f t="shared" si="5"/>
        <v>3300</v>
      </c>
      <c r="K14" s="236">
        <f t="shared" ref="K14" si="7">(J14-L14)/I14</f>
        <v>9.3333333333333338E-2</v>
      </c>
      <c r="L14" s="237">
        <v>1900</v>
      </c>
      <c r="M14" s="247">
        <f t="shared" ref="M14" si="8">L14/I14</f>
        <v>0.12666666666666668</v>
      </c>
      <c r="N14" s="251">
        <f t="shared" ref="N14" si="9">(J14-L14)/J14</f>
        <v>0.42424242424242425</v>
      </c>
      <c r="O14" s="239">
        <v>1749.0000000000002</v>
      </c>
      <c r="P14" s="255">
        <f t="shared" ref="P14" si="10">L14-O14</f>
        <v>150.99999999999977</v>
      </c>
      <c r="Q14" s="256">
        <f t="shared" ref="Q14" si="11">P14/O14</f>
        <v>8.6335048599199396E-2</v>
      </c>
    </row>
    <row r="15" spans="1:17" s="40" customFormat="1" ht="15" customHeight="1" x14ac:dyDescent="0.3">
      <c r="A15" s="260" t="s">
        <v>604</v>
      </c>
      <c r="B15" s="257">
        <v>9810592000149</v>
      </c>
      <c r="C15" s="323"/>
      <c r="D15" s="252" t="s">
        <v>19</v>
      </c>
      <c r="E15" s="252" t="s">
        <v>22</v>
      </c>
      <c r="F15" s="238" t="s">
        <v>382</v>
      </c>
      <c r="G15" s="246">
        <v>3.5</v>
      </c>
      <c r="H15" s="258" t="s">
        <v>8</v>
      </c>
      <c r="I15" s="235">
        <v>12000</v>
      </c>
      <c r="J15" s="241">
        <f t="shared" si="5"/>
        <v>2640</v>
      </c>
      <c r="K15" s="236">
        <f>(J15-L15)/I15</f>
        <v>5.3333333333333337E-2</v>
      </c>
      <c r="L15" s="237">
        <v>2000</v>
      </c>
      <c r="M15" s="247">
        <f>L15/I15</f>
        <v>0.16666666666666666</v>
      </c>
      <c r="N15" s="251">
        <f>(J15-L15)/J15</f>
        <v>0.24242424242424243</v>
      </c>
      <c r="O15" s="239">
        <v>1483.3</v>
      </c>
      <c r="P15" s="255">
        <f>L15-O15</f>
        <v>516.70000000000005</v>
      </c>
      <c r="Q15" s="256">
        <f>P15/O15</f>
        <v>0.34834490662711526</v>
      </c>
    </row>
    <row r="16" spans="1:17" s="40" customFormat="1" ht="15" customHeight="1" x14ac:dyDescent="0.3">
      <c r="A16" s="260" t="s">
        <v>605</v>
      </c>
      <c r="B16" s="257">
        <v>9810592000147</v>
      </c>
      <c r="C16" s="323"/>
      <c r="D16" s="252" t="s">
        <v>19</v>
      </c>
      <c r="E16" s="252" t="s">
        <v>22</v>
      </c>
      <c r="F16" s="238" t="s">
        <v>383</v>
      </c>
      <c r="G16" s="246">
        <v>3.5</v>
      </c>
      <c r="H16" s="258" t="s">
        <v>8</v>
      </c>
      <c r="I16" s="235">
        <v>12000</v>
      </c>
      <c r="J16" s="241">
        <f t="shared" si="5"/>
        <v>2640</v>
      </c>
      <c r="K16" s="236">
        <f>(J16-L16)/I16</f>
        <v>5.3333333333333337E-2</v>
      </c>
      <c r="L16" s="237">
        <v>2000</v>
      </c>
      <c r="M16" s="247">
        <f>L16/I16</f>
        <v>0.16666666666666666</v>
      </c>
      <c r="N16" s="251">
        <f>(J16-L16)/J16</f>
        <v>0.24242424242424243</v>
      </c>
      <c r="O16" s="239">
        <v>1483.3</v>
      </c>
      <c r="P16" s="255">
        <f>L16-O16</f>
        <v>516.70000000000005</v>
      </c>
      <c r="Q16" s="256">
        <f>P16/O16</f>
        <v>0.34834490662711526</v>
      </c>
    </row>
    <row r="17" spans="1:17" s="40" customFormat="1" ht="15" customHeight="1" x14ac:dyDescent="0.3">
      <c r="A17" s="260" t="s">
        <v>606</v>
      </c>
      <c r="B17" s="257">
        <v>9810592000093</v>
      </c>
      <c r="C17" s="323"/>
      <c r="D17" s="252" t="s">
        <v>15</v>
      </c>
      <c r="E17" s="252" t="s">
        <v>613</v>
      </c>
      <c r="F17" s="238" t="s">
        <v>364</v>
      </c>
      <c r="G17" s="234">
        <v>8</v>
      </c>
      <c r="H17" s="258" t="s">
        <v>8</v>
      </c>
      <c r="I17" s="235">
        <v>10000</v>
      </c>
      <c r="J17" s="241">
        <f t="shared" si="5"/>
        <v>2200</v>
      </c>
      <c r="K17" s="236">
        <f>(J17-L17)/I17</f>
        <v>0.06</v>
      </c>
      <c r="L17" s="237">
        <v>1600</v>
      </c>
      <c r="M17" s="247">
        <f>L17/I17</f>
        <v>0.16</v>
      </c>
      <c r="N17" s="251">
        <f>(J17-L17)/J17</f>
        <v>0.27272727272727271</v>
      </c>
      <c r="O17" s="239">
        <v>1439</v>
      </c>
      <c r="P17" s="255">
        <f>L17-O17</f>
        <v>161</v>
      </c>
      <c r="Q17" s="256">
        <f>P17/O17</f>
        <v>0.11188325225851285</v>
      </c>
    </row>
    <row r="18" spans="1:17" s="40" customFormat="1" ht="15" customHeight="1" x14ac:dyDescent="0.3">
      <c r="A18" s="260" t="s">
        <v>607</v>
      </c>
      <c r="B18" s="257">
        <v>9810592000092</v>
      </c>
      <c r="C18" s="324"/>
      <c r="D18" s="252" t="s">
        <v>15</v>
      </c>
      <c r="E18" s="252" t="s">
        <v>613</v>
      </c>
      <c r="F18" s="238" t="s">
        <v>365</v>
      </c>
      <c r="G18" s="234">
        <v>8</v>
      </c>
      <c r="H18" s="258" t="s">
        <v>8</v>
      </c>
      <c r="I18" s="235">
        <v>10000</v>
      </c>
      <c r="J18" s="241">
        <f t="shared" si="5"/>
        <v>2200</v>
      </c>
      <c r="K18" s="236">
        <f>(J18-L18)/I18</f>
        <v>0.06</v>
      </c>
      <c r="L18" s="237">
        <v>1600</v>
      </c>
      <c r="M18" s="247">
        <f>L18/I18</f>
        <v>0.16</v>
      </c>
      <c r="N18" s="251">
        <f>(J18-L18)/J18</f>
        <v>0.27272727272727271</v>
      </c>
      <c r="O18" s="239">
        <v>1439</v>
      </c>
      <c r="P18" s="255">
        <f>L18-O18</f>
        <v>161</v>
      </c>
      <c r="Q18" s="256">
        <f>P18/O18</f>
        <v>0.11188325225851285</v>
      </c>
    </row>
  </sheetData>
  <mergeCells count="2">
    <mergeCell ref="C3:C13"/>
    <mergeCell ref="C14:C18"/>
  </mergeCells>
  <phoneticPr fontId="4" type="noConversion"/>
  <conditionalFormatting sqref="K2">
    <cfRule type="cellIs" dxfId="2" priority="31" operator="lessThan">
      <formula>0.09</formula>
    </cfRule>
    <cfRule type="cellIs" dxfId="1" priority="32" operator="lessThanOrEqual">
      <formula>0</formula>
    </cfRule>
  </conditionalFormatting>
  <conditionalFormatting sqref="M2">
    <cfRule type="cellIs" dxfId="0" priority="30" operator="lessThan">
      <formula>150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6</vt:i4>
      </vt:variant>
    </vt:vector>
  </HeadingPairs>
  <TitlesOfParts>
    <vt:vector size="13" baseType="lpstr">
      <vt:lpstr>닥터아제라 제품리스트</vt:lpstr>
      <vt:lpstr>BOM관리리스트_생산,판매원가조정 (2)</vt:lpstr>
      <vt:lpstr>BOM관리리스트_생산원가_보고용1</vt:lpstr>
      <vt:lpstr>Sheet2</vt:lpstr>
      <vt:lpstr>Sheet1</vt:lpstr>
      <vt:lpstr>BOM수정내역</vt:lpstr>
      <vt:lpstr>상해젠피아</vt:lpstr>
      <vt:lpstr>'BOM관리리스트_생산,판매원가조정 (2)'!Print_Area</vt:lpstr>
      <vt:lpstr>BOM관리리스트_생산원가_보고용1!Print_Area</vt:lpstr>
      <vt:lpstr>'닥터아제라 제품리스트'!Print_Area</vt:lpstr>
      <vt:lpstr>'BOM관리리스트_생산,판매원가조정 (2)'!Print_Titles</vt:lpstr>
      <vt:lpstr>BOM관리리스트_생산원가_보고용1!Print_Titles</vt:lpstr>
      <vt:lpstr>'닥터아제라 제품리스트'!Print_Titles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kmj</dc:creator>
  <cp:lastModifiedBy>RICH</cp:lastModifiedBy>
  <cp:lastPrinted>2020-01-15T00:44:07Z</cp:lastPrinted>
  <dcterms:created xsi:type="dcterms:W3CDTF">2017-10-18T08:09:46Z</dcterms:created>
  <dcterms:modified xsi:type="dcterms:W3CDTF">2026-02-25T05:06:15Z</dcterms:modified>
</cp:coreProperties>
</file>